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2460" yWindow="-150" windowWidth="16185" windowHeight="16320" tabRatio="500" activeTab="1"/>
  </bookViews>
  <sheets>
    <sheet name="NominalSet" sheetId="3" r:id="rId1"/>
    <sheet name="DetectorNoise" sheetId="6" r:id="rId2"/>
    <sheet name="InitialSet" sheetId="2" r:id="rId3"/>
    <sheet name="Comparisons" sheetId="1" r:id="rId4"/>
    <sheet name="Weights" sheetId="4" r:id="rId5"/>
    <sheet name="MirrorFill" sheetId="5" r:id="rId6"/>
  </sheets>
  <calcPr calcId="125725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B6" i="4"/>
  <c r="AC6"/>
  <c r="AB7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AB18"/>
  <c r="AC18"/>
  <c r="AB19"/>
  <c r="AC19"/>
  <c r="AB20"/>
  <c r="AC20"/>
  <c r="AB21"/>
  <c r="AC21"/>
  <c r="AB22"/>
  <c r="AC22"/>
  <c r="AB23"/>
  <c r="AC23"/>
  <c r="AB24"/>
  <c r="AC24"/>
  <c r="AB25"/>
  <c r="AC25"/>
  <c r="AC5"/>
  <c r="AB5"/>
  <c r="F12" i="3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1"/>
  <c r="H12" i="6" l="1"/>
  <c r="I12" s="1"/>
  <c r="G12" i="3" s="1"/>
  <c r="H13" i="6"/>
  <c r="I13" s="1"/>
  <c r="G13" i="3" s="1"/>
  <c r="H14" i="6"/>
  <c r="I14" s="1"/>
  <c r="G14" i="3" s="1"/>
  <c r="H15" i="6"/>
  <c r="I15" s="1"/>
  <c r="G15" i="3" s="1"/>
  <c r="H16" i="6"/>
  <c r="I16" s="1"/>
  <c r="G16" i="3" s="1"/>
  <c r="H17" i="6"/>
  <c r="I17" s="1"/>
  <c r="G17" i="3" s="1"/>
  <c r="H18" i="6"/>
  <c r="I18" s="1"/>
  <c r="G18" i="3" s="1"/>
  <c r="H19" i="6"/>
  <c r="I19" s="1"/>
  <c r="G19" i="3" s="1"/>
  <c r="H20" i="6"/>
  <c r="I20" s="1"/>
  <c r="G20" i="3" s="1"/>
  <c r="H21" i="6"/>
  <c r="I21" s="1"/>
  <c r="G21" i="3" s="1"/>
  <c r="H22" i="6"/>
  <c r="I22" s="1"/>
  <c r="G22" i="3" s="1"/>
  <c r="H23" i="6"/>
  <c r="I23" s="1"/>
  <c r="G23" i="3" s="1"/>
  <c r="H24" i="6"/>
  <c r="I24" s="1"/>
  <c r="G24" i="3" s="1"/>
  <c r="H25" i="6"/>
  <c r="I25" s="1"/>
  <c r="G25" i="3" s="1"/>
  <c r="H26" i="6"/>
  <c r="I26" s="1"/>
  <c r="G26" i="3" s="1"/>
  <c r="H27" i="6"/>
  <c r="I27" s="1"/>
  <c r="G27" i="3" s="1"/>
  <c r="H28" i="6"/>
  <c r="I28" s="1"/>
  <c r="G28" i="3" s="1"/>
  <c r="H29" i="6"/>
  <c r="I29" s="1"/>
  <c r="G29" i="3" s="1"/>
  <c r="H30" i="6"/>
  <c r="I30" s="1"/>
  <c r="G30" i="3" s="1"/>
  <c r="H31" i="6"/>
  <c r="I31" s="1"/>
  <c r="G31" i="3" s="1"/>
  <c r="H11" i="6"/>
  <c r="I11" s="1"/>
  <c r="G11" i="3" s="1"/>
  <c r="C8" i="2" l="1"/>
  <c r="D8"/>
  <c r="E8"/>
  <c r="B8"/>
  <c r="B9"/>
  <c r="W5" i="4"/>
  <c r="W6"/>
  <c r="X18"/>
  <c r="X14"/>
  <c r="X16"/>
  <c r="X9"/>
  <c r="X7"/>
  <c r="Q6"/>
  <c r="Q7"/>
  <c r="Q8"/>
  <c r="Q9"/>
  <c r="Q10"/>
  <c r="Q11"/>
  <c r="Q12"/>
  <c r="Q13"/>
  <c r="Q5"/>
  <c r="S6"/>
  <c r="T6"/>
  <c r="S7"/>
  <c r="T7"/>
  <c r="S8"/>
  <c r="T8"/>
  <c r="S9"/>
  <c r="T9"/>
  <c r="S10"/>
  <c r="T10"/>
  <c r="S11"/>
  <c r="T11"/>
  <c r="S12"/>
  <c r="T12"/>
  <c r="S13"/>
  <c r="T13"/>
  <c r="S5"/>
  <c r="T5"/>
  <c r="M6"/>
  <c r="M7"/>
  <c r="M8"/>
  <c r="M9"/>
  <c r="M10"/>
  <c r="M11"/>
  <c r="M12"/>
  <c r="M13"/>
  <c r="M5"/>
  <c r="F6"/>
  <c r="F7"/>
  <c r="F8"/>
  <c r="F9"/>
  <c r="F10"/>
  <c r="F11"/>
  <c r="F12"/>
  <c r="F13"/>
  <c r="F5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B18" i="5"/>
  <c r="C18"/>
  <c r="D18"/>
  <c r="I10"/>
  <c r="I11"/>
  <c r="I12"/>
  <c r="I13"/>
  <c r="I14"/>
  <c r="I15"/>
  <c r="I16"/>
  <c r="I17"/>
  <c r="I18"/>
  <c r="I19"/>
  <c r="I9"/>
  <c r="H10"/>
  <c r="H11"/>
  <c r="H12"/>
  <c r="H13"/>
  <c r="H14"/>
  <c r="H15"/>
  <c r="H16"/>
  <c r="H17"/>
  <c r="H18"/>
  <c r="H19"/>
  <c r="H9"/>
  <c r="G10"/>
  <c r="G11"/>
  <c r="G12"/>
  <c r="G13"/>
  <c r="G14"/>
  <c r="G15"/>
  <c r="G16"/>
  <c r="G17"/>
  <c r="G18"/>
  <c r="G19"/>
  <c r="G9"/>
  <c r="G7"/>
  <c r="B7"/>
  <c r="H4"/>
  <c r="H5"/>
  <c r="D10"/>
  <c r="D11"/>
  <c r="D12"/>
  <c r="D13"/>
  <c r="D14"/>
  <c r="D15"/>
  <c r="D16"/>
  <c r="D17"/>
  <c r="D19"/>
  <c r="D20"/>
  <c r="D9"/>
  <c r="C10"/>
  <c r="C11"/>
  <c r="C12"/>
  <c r="C13"/>
  <c r="C14"/>
  <c r="C15"/>
  <c r="C16"/>
  <c r="C17"/>
  <c r="C19"/>
  <c r="C20"/>
  <c r="C9"/>
  <c r="B10"/>
  <c r="B11"/>
  <c r="B12"/>
  <c r="B13"/>
  <c r="B14"/>
  <c r="B15"/>
  <c r="B16"/>
  <c r="B17"/>
  <c r="B19"/>
  <c r="B20"/>
  <c r="B9"/>
  <c r="C4"/>
  <c r="C5"/>
  <c r="L13" i="4"/>
  <c r="L12"/>
  <c r="L11"/>
  <c r="L10"/>
  <c r="L9"/>
  <c r="L8"/>
  <c r="L7"/>
  <c r="L6"/>
  <c r="L5"/>
  <c r="E6"/>
  <c r="E7"/>
  <c r="E8"/>
  <c r="E9"/>
  <c r="E10"/>
  <c r="E11"/>
  <c r="E12"/>
  <c r="E13"/>
  <c r="E5"/>
  <c r="B10" i="2"/>
  <c r="E10"/>
  <c r="C10"/>
  <c r="D10"/>
  <c r="B11"/>
  <c r="E11"/>
  <c r="C11"/>
  <c r="D11"/>
  <c r="B12"/>
  <c r="E12"/>
  <c r="C12"/>
  <c r="D12"/>
  <c r="B13"/>
  <c r="E13"/>
  <c r="C13"/>
  <c r="D13"/>
  <c r="B14"/>
  <c r="E14"/>
  <c r="C14"/>
  <c r="D14"/>
  <c r="B15"/>
  <c r="E15"/>
  <c r="C15"/>
  <c r="D15"/>
  <c r="B16"/>
  <c r="E16"/>
  <c r="C16"/>
  <c r="D16"/>
  <c r="B17"/>
  <c r="E17"/>
  <c r="C17"/>
  <c r="D17"/>
  <c r="B18"/>
  <c r="E18"/>
  <c r="C18"/>
  <c r="D18"/>
  <c r="B19"/>
  <c r="E19"/>
  <c r="C19"/>
  <c r="D19"/>
  <c r="B20"/>
  <c r="E20"/>
  <c r="C20"/>
  <c r="D20"/>
  <c r="B21"/>
  <c r="E21"/>
  <c r="C21"/>
  <c r="D21"/>
  <c r="B22"/>
  <c r="E22"/>
  <c r="C22"/>
  <c r="D22"/>
  <c r="B23"/>
  <c r="E23"/>
  <c r="C23"/>
  <c r="D23"/>
  <c r="B24"/>
  <c r="E24"/>
  <c r="C24"/>
  <c r="D24"/>
  <c r="B25"/>
  <c r="E25"/>
  <c r="C25"/>
  <c r="D25"/>
  <c r="B26"/>
  <c r="E26"/>
  <c r="C26"/>
  <c r="D26"/>
  <c r="B27"/>
  <c r="E27"/>
  <c r="C27"/>
  <c r="D27"/>
  <c r="B28"/>
  <c r="E28"/>
  <c r="C28"/>
  <c r="D28"/>
  <c r="E9"/>
  <c r="D9"/>
  <c r="C9"/>
  <c r="E64" i="1"/>
  <c r="D64"/>
  <c r="C64"/>
  <c r="F63"/>
  <c r="E63"/>
  <c r="D63"/>
  <c r="C63"/>
  <c r="F62"/>
  <c r="E62"/>
  <c r="D62"/>
  <c r="C62"/>
  <c r="F61"/>
  <c r="E61"/>
  <c r="D61"/>
  <c r="C61"/>
  <c r="F60"/>
  <c r="E60"/>
  <c r="D60"/>
  <c r="C60"/>
  <c r="F59"/>
  <c r="E59"/>
  <c r="D59"/>
  <c r="C59"/>
  <c r="F58"/>
  <c r="E58"/>
  <c r="D58"/>
  <c r="C58"/>
  <c r="F57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F51"/>
  <c r="E51"/>
  <c r="D51"/>
  <c r="C51"/>
  <c r="F50"/>
  <c r="E50"/>
  <c r="D50"/>
  <c r="C50"/>
  <c r="F37"/>
  <c r="E37"/>
  <c r="C37"/>
  <c r="D37"/>
  <c r="F38"/>
  <c r="E38"/>
  <c r="C38"/>
  <c r="D38"/>
  <c r="F39"/>
  <c r="E39"/>
  <c r="C39"/>
  <c r="D39"/>
  <c r="F40"/>
  <c r="E40"/>
  <c r="C40"/>
  <c r="D40"/>
  <c r="F41"/>
  <c r="E41"/>
  <c r="C41"/>
  <c r="D41"/>
  <c r="F42"/>
  <c r="E42"/>
  <c r="C42"/>
  <c r="D42"/>
  <c r="F43"/>
  <c r="E43"/>
  <c r="C43"/>
  <c r="D43"/>
  <c r="F44"/>
  <c r="E44"/>
  <c r="C44"/>
  <c r="D44"/>
  <c r="F45"/>
  <c r="E45"/>
  <c r="C45"/>
  <c r="D45"/>
  <c r="F46"/>
  <c r="E46"/>
  <c r="C46"/>
  <c r="D46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5"/>
  <c r="E5"/>
  <c r="D5"/>
  <c r="F6"/>
  <c r="E6"/>
  <c r="D6"/>
  <c r="F7"/>
  <c r="E7"/>
  <c r="D7"/>
  <c r="F8"/>
  <c r="E8"/>
  <c r="D8"/>
  <c r="F9"/>
  <c r="E9"/>
  <c r="D9"/>
  <c r="F10"/>
  <c r="E10"/>
  <c r="D10"/>
  <c r="F11"/>
  <c r="E11"/>
  <c r="D11"/>
  <c r="F12"/>
  <c r="E12"/>
  <c r="D12"/>
  <c r="C5"/>
  <c r="C6"/>
  <c r="C7"/>
  <c r="C8"/>
  <c r="C9"/>
  <c r="C10"/>
  <c r="C11"/>
  <c r="C12"/>
  <c r="F4"/>
  <c r="E4"/>
  <c r="D4"/>
  <c r="C4"/>
  <c r="F24"/>
  <c r="F23"/>
  <c r="F22"/>
  <c r="F21"/>
  <c r="F20"/>
  <c r="F19"/>
</calcChain>
</file>

<file path=xl/sharedStrings.xml><?xml version="1.0" encoding="utf-8"?>
<sst xmlns="http://schemas.openxmlformats.org/spreadsheetml/2006/main" count="323" uniqueCount="112">
  <si>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</si>
  <si>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</si>
  <si>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</si>
  <si>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</si>
  <si>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</si>
  <si>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</si>
  <si>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</si>
  <si>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</si>
  <si>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</si>
  <si>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</si>
  <si>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</si>
  <si>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</si>
  <si>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</si>
  <si>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</si>
  <si>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</si>
  <si>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</si>
  <si>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</si>
  <si>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</si>
  <si>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</si>
  <si>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</si>
  <si>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</si>
  <si>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</si>
  <si>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</si>
  <si>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</si>
  <si>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</si>
  <si>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</si>
  <si>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</si>
  <si>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LiteBIRD</t>
  </si>
  <si>
    <t>CORE</t>
  </si>
  <si>
    <t>SO/S4</t>
  </si>
  <si>
    <t>CCAT Prime</t>
  </si>
  <si>
    <t>Planck</t>
  </si>
  <si>
    <t>Band definitions for upcoming experiments (together with WMAP and Planck). Please send additions and/or corrections to jdborrill@lbl.gov</t>
  </si>
  <si>
    <t>Experiment</t>
  </si>
  <si>
    <t>Nominal Frequency (GHz)</t>
  </si>
  <si>
    <t>Central Frequency (GHz)</t>
  </si>
  <si>
    <t>TopHat Bandwidth (GHz)</t>
  </si>
  <si>
    <t>Fractional Bandwidth</t>
  </si>
  <si>
    <t>Beam FWHM
(arcmin)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</si>
  <si>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</si>
  <si>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</si>
  <si>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</si>
  <si>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</si>
  <si>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</si>
  <si>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</si>
  <si>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</si>
  <si>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??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</si>
  <si>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</si>
  <si>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</si>
  <si>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</si>
  <si>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</si>
  <si>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</si>
  <si>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</si>
  <si>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</si>
  <si>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</si>
  <si>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</si>
  <si>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</si>
  <si>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</si>
  <si>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</si>
  <si>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NERSC Band</t>
  </si>
  <si>
    <t>CMBP Initial Set</t>
  </si>
  <si>
    <t>beam</t>
  </si>
  <si>
    <t>Nbol</t>
  </si>
  <si>
    <t>NET</t>
  </si>
  <si>
    <t>Bolo</t>
  </si>
  <si>
    <t>Band</t>
  </si>
  <si>
    <t>uK-arcmin</t>
  </si>
  <si>
    <t xml:space="preserve">f </t>
  </si>
  <si>
    <t>theta 30</t>
  </si>
  <si>
    <t>theta 90</t>
  </si>
  <si>
    <t>theta 150</t>
  </si>
  <si>
    <t>d</t>
  </si>
  <si>
    <t>cm</t>
  </si>
  <si>
    <t>coeff</t>
  </si>
  <si>
    <t>EPIC-IM</t>
  </si>
  <si>
    <t>FWHM</t>
  </si>
  <si>
    <t>mirror fill = 0.55</t>
  </si>
  <si>
    <t>assumptions</t>
  </si>
  <si>
    <t>40 K</t>
  </si>
  <si>
    <t>4 K</t>
  </si>
  <si>
    <t>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</si>
  <si>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</si>
  <si>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</si>
  <si>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</si>
  <si>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</si>
  <si>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</si>
  <si>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</si>
  <si>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</si>
  <si>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</si>
  <si>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</si>
  <si>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</si>
  <si>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</si>
  <si>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</si>
  <si>
    <t>Noise calculated for Open Dragone</t>
  </si>
  <si>
    <t>F/1.5</t>
  </si>
  <si>
    <t>Pixel type</t>
  </si>
  <si>
    <t># detectors</t>
  </si>
  <si>
    <t>(dB)</t>
  </si>
  <si>
    <t>(uK rt(sec))</t>
  </si>
  <si>
    <t>(uK arcmin)</t>
  </si>
  <si>
    <t>Edge taper</t>
  </si>
  <si>
    <t>Detector NET</t>
  </si>
  <si>
    <t>Arrary NET</t>
  </si>
  <si>
    <t>Pol weight</t>
  </si>
  <si>
    <t>Observing time:</t>
  </si>
  <si>
    <t>yrs</t>
  </si>
  <si>
    <t>Open Dragone Baseline</t>
  </si>
  <si>
    <t>CMBP 30 K (V2.4)</t>
  </si>
  <si>
    <t>Notes:</t>
  </si>
  <si>
    <t>4K stop</t>
  </si>
  <si>
    <t>4K secondary</t>
  </si>
  <si>
    <t>30K primary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</si>
</sst>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"/>
    <numFmt numFmtId="165" formatCode="_(* #,##0.0000000_);_(* \(#,##0.0000000\);_(* &quot;-&quot;??_);_(@_)"/>
  </numFmts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6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1" fontId="0" fillId="2" borderId="10" xfId="0" applyNumberFormat="1" applyFill="1" applyBorder="1"/>
    <xf numFmtId="164" fontId="0" fillId="2" borderId="10" xfId="0" applyNumberForma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 applyAlignment="1"/>
    <xf numFmtId="1" fontId="0" fillId="0" borderId="0" xfId="0" applyNumberFormat="1"/>
    <xf numFmtId="0" fontId="5" fillId="0" borderId="0" xfId="0" applyFont="1"/>
    <xf numFmtId="0" fontId="0" fillId="0" borderId="10" xfId="0" applyFont="1" applyFill="1" applyBorder="1"/>
    <xf numFmtId="0" fontId="0" fillId="0" borderId="10" xfId="0" applyFill="1" applyBorder="1"/>
    <xf numFmtId="0" fontId="0" fillId="2" borderId="0" xfId="0" applyFill="1"/>
    <xf numFmtId="0" fontId="4" fillId="0" borderId="0" xfId="0" applyFont="1" applyAlignment="1">
      <alignment horizontal="center"/>
    </xf>
    <xf numFmtId="1" fontId="0" fillId="3" borderId="11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164" fontId="0" fillId="0" borderId="12" xfId="0" applyNumberFormat="1" applyFill="1" applyBorder="1"/>
    <xf numFmtId="1" fontId="0" fillId="0" borderId="10" xfId="0" applyNumberFormat="1" applyFill="1" applyBorder="1"/>
    <xf numFmtId="164" fontId="0" fillId="0" borderId="10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15" fontId="0" fillId="0" borderId="0" xfId="0" applyNumberFormat="1" applyFill="1" applyBorder="1" applyAlignment="1">
      <alignment horizontal="right"/>
    </xf>
    <xf numFmtId="0" fontId="4" fillId="0" borderId="0" xfId="0" applyFont="1" applyFill="1" applyBorder="1"/>
    <xf numFmtId="164" fontId="4" fillId="0" borderId="10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right"/>
    </xf>
    <xf numFmtId="11" fontId="0" fillId="0" borderId="0" xfId="0" applyNumberFormat="1"/>
    <xf numFmtId="43" fontId="0" fillId="0" borderId="0" xfId="213" applyFont="1"/>
    <xf numFmtId="43" fontId="0" fillId="0" borderId="0" xfId="0" applyNumberFormat="1"/>
    <xf numFmtId="165" fontId="0" fillId="0" borderId="0" xfId="0" applyNumberFormat="1"/>
    <xf numFmtId="0" fontId="4" fillId="0" borderId="0" xfId="0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10" xfId="0" applyNumberFormat="1" applyFont="1" applyFill="1" applyBorder="1" applyAlignment="1">
      <alignment horizontal="right"/>
    </xf>
  </cellXfs>
  <cellStyles count="214">
    <cellStyle name="Comma" xfId="2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757130897929005"/>
          <c:y val="0.11979695431472102"/>
          <c:w val="0.74246072091527782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 Open Baseline V2.5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13.857257282688288</c:v>
                </c:pt>
                <c:pt idx="1">
                  <c:v>8.5570268479230744</c:v>
                </c:pt>
                <c:pt idx="2">
                  <c:v>10.271336117779427</c:v>
                </c:pt>
                <c:pt idx="3">
                  <c:v>6.3392142102759781</c:v>
                </c:pt>
                <c:pt idx="4">
                  <c:v>8.5880889902824062</c:v>
                </c:pt>
                <c:pt idx="5">
                  <c:v>5.3450518789388592</c:v>
                </c:pt>
                <c:pt idx="6">
                  <c:v>5.4193645158251007</c:v>
                </c:pt>
                <c:pt idx="7">
                  <c:v>4.1735264285655296</c:v>
                </c:pt>
                <c:pt idx="8">
                  <c:v>4.2566126346498478</c:v>
                </c:pt>
                <c:pt idx="9">
                  <c:v>3.384737146536017</c:v>
                </c:pt>
                <c:pt idx="10">
                  <c:v>4.0595289564544599</c:v>
                </c:pt>
                <c:pt idx="11">
                  <c:v>3.460822834663436</c:v>
                </c:pt>
                <c:pt idx="12">
                  <c:v>4.2170573658376371</c:v>
                </c:pt>
                <c:pt idx="13">
                  <c:v>5.3485917502758307</c:v>
                </c:pt>
                <c:pt idx="14">
                  <c:v>6.2929131200708515</c:v>
                </c:pt>
                <c:pt idx="15">
                  <c:v>10.885549455</c:v>
                </c:pt>
                <c:pt idx="16">
                  <c:v>20.830331130516637</c:v>
                </c:pt>
                <c:pt idx="17">
                  <c:v>55.737541305000001</c:v>
                </c:pt>
                <c:pt idx="18">
                  <c:v>308.62734385032894</c:v>
                </c:pt>
                <c:pt idx="19">
                  <c:v>1463.9504551800205</c:v>
                </c:pt>
                <c:pt idx="20">
                  <c:v>9935.4696759201343</c:v>
                </c:pt>
              </c:numCache>
            </c:numRef>
          </c:yVal>
        </c:ser>
        <c:axId val="67139072"/>
        <c:axId val="67140992"/>
      </c:scatterChart>
      <c:valAx>
        <c:axId val="6713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140992"/>
        <c:crosses val="autoZero"/>
        <c:crossBetween val="midCat"/>
      </c:valAx>
      <c:valAx>
        <c:axId val="67140992"/>
        <c:scaling>
          <c:logBase val="10"/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139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11"/>
          <c:y val="0.15770094728006706"/>
          <c:w val="0.22241180243745992"/>
          <c:h val="0.34901994484192012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7757130897929005"/>
          <c:y val="0.11979695431472102"/>
          <c:w val="0.74246072091527782"/>
          <c:h val="0.73057556257244505"/>
        </c:manualLayout>
      </c:layout>
      <c:scatterChart>
        <c:scatterStyle val="lineMarker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25.996639245935881</c:v>
                </c:pt>
                <c:pt idx="1">
                  <c:v>11.719339429620881</c:v>
                </c:pt>
                <c:pt idx="2">
                  <c:v>6.3835801987478913</c:v>
                </c:pt>
                <c:pt idx="3">
                  <c:v>4.00512375948969</c:v>
                </c:pt>
                <c:pt idx="4">
                  <c:v>3.8503015209624274</c:v>
                </c:pt>
                <c:pt idx="5">
                  <c:v>5.8493199810060048</c:v>
                </c:pt>
                <c:pt idx="6">
                  <c:v>30.816037491323684</c:v>
                </c:pt>
                <c:pt idx="7">
                  <c:v>221.47469757664567</c:v>
                </c:pt>
                <c:pt idx="8">
                  <c:v>36575.342538630888</c:v>
                </c:pt>
              </c:numCache>
            </c:numRef>
          </c:yVal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115</c:v>
                </c:pt>
                <c:pt idx="6">
                  <c:v>130</c:v>
                </c:pt>
                <c:pt idx="7">
                  <c:v>145</c:v>
                </c:pt>
                <c:pt idx="8">
                  <c:v>160</c:v>
                </c:pt>
                <c:pt idx="9">
                  <c:v>175</c:v>
                </c:pt>
                <c:pt idx="10">
                  <c:v>195</c:v>
                </c:pt>
                <c:pt idx="11">
                  <c:v>220</c:v>
                </c:pt>
                <c:pt idx="12">
                  <c:v>255</c:v>
                </c:pt>
                <c:pt idx="13">
                  <c:v>295</c:v>
                </c:pt>
                <c:pt idx="14">
                  <c:v>340</c:v>
                </c:pt>
                <c:pt idx="15">
                  <c:v>390</c:v>
                </c:pt>
                <c:pt idx="16">
                  <c:v>450</c:v>
                </c:pt>
                <c:pt idx="17">
                  <c:v>520</c:v>
                </c:pt>
                <c:pt idx="18">
                  <c:v>600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64.900000000000006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14.063207315545055</c:v>
                </c:pt>
                <c:pt idx="1">
                  <c:v>5.7102141108987929</c:v>
                </c:pt>
                <c:pt idx="2">
                  <c:v>2.5225737607408787</c:v>
                </c:pt>
                <c:pt idx="3">
                  <c:v>1.7681631202103869</c:v>
                </c:pt>
                <c:pt idx="4">
                  <c:v>1.4452420807311177</c:v>
                </c:pt>
                <c:pt idx="5">
                  <c:v>2.5147466998698245</c:v>
                </c:pt>
                <c:pt idx="6">
                  <c:v>5.6254629439125576</c:v>
                </c:pt>
                <c:pt idx="7">
                  <c:v>16.25179970310192</c:v>
                </c:pt>
                <c:pt idx="8">
                  <c:v>751.50967461821551</c:v>
                </c:pt>
              </c:numCache>
            </c:numRef>
          </c:yVal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</c:v>
                </c:pt>
                <c:pt idx="1">
                  <c:v>45</c:v>
                </c:pt>
                <c:pt idx="2">
                  <c:v>70</c:v>
                </c:pt>
                <c:pt idx="3">
                  <c:v>100</c:v>
                </c:pt>
                <c:pt idx="4">
                  <c:v>150</c:v>
                </c:pt>
                <c:pt idx="5">
                  <c:v>220</c:v>
                </c:pt>
                <c:pt idx="6">
                  <c:v>340</c:v>
                </c:pt>
                <c:pt idx="7">
                  <c:v>500</c:v>
                </c:pt>
                <c:pt idx="8">
                  <c:v>850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9.0777612878947203</c:v>
                </c:pt>
                <c:pt idx="2">
                  <c:v>4.0675279696375517</c:v>
                </c:pt>
                <c:pt idx="3">
                  <c:v>2.9038750921831715</c:v>
                </c:pt>
                <c:pt idx="4">
                  <c:v>2.5544581050841138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112.30816978296816</c:v>
                </c:pt>
                <c:pt idx="8">
                  <c:v>20196.215657040102</c:v>
                </c:pt>
              </c:numCache>
            </c:numRef>
          </c:yVal>
        </c:ser>
        <c:ser>
          <c:idx val="4"/>
          <c:order val="4"/>
          <c:tx>
            <c:v>CMBP V2.4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</c:v>
                </c:pt>
                <c:pt idx="1">
                  <c:v>33</c:v>
                </c:pt>
                <c:pt idx="2" formatCode="0.0">
                  <c:v>22.40628518593239</c:v>
                </c:pt>
                <c:pt idx="3">
                  <c:v>15</c:v>
                </c:pt>
                <c:pt idx="4" formatCode="0.0">
                  <c:v>9.0777612878947203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3.2</c:v>
                </c:pt>
                <c:pt idx="9" formatCode="0.0">
                  <c:v>2.9038750921831715</c:v>
                </c:pt>
                <c:pt idx="10">
                  <c:v>2.7</c:v>
                </c:pt>
                <c:pt idx="11" formatCode="0.0">
                  <c:v>2.5544581050841138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</c:v>
                </c:pt>
                <c:pt idx="15" formatCode="0.0">
                  <c:v>16</c:v>
                </c:pt>
                <c:pt idx="16">
                  <c:v>32</c:v>
                </c:pt>
                <c:pt idx="17">
                  <c:v>75</c:v>
                </c:pt>
                <c:pt idx="18" formatCode="0.0">
                  <c:v>220</c:v>
                </c:pt>
                <c:pt idx="19">
                  <c:v>1100</c:v>
                </c:pt>
                <c:pt idx="20" formatCode="0.0">
                  <c:v>10000</c:v>
                </c:pt>
              </c:numCache>
            </c:numRef>
          </c:yVal>
        </c:ser>
        <c:ser>
          <c:idx val="5"/>
          <c:order val="5"/>
          <c:tx>
            <c:v>PICO Open Baseline V2.5</c:v>
          </c:tx>
          <c:xVal>
            <c:numRef>
              <c:f>Weights!$AA$5:$AA$25</c:f>
              <c:numCache>
                <c:formatCode>General</c:formatCode>
                <c:ptCount val="21"/>
                <c:pt idx="0">
                  <c:v>21</c:v>
                </c:pt>
                <c:pt idx="1">
                  <c:v>25</c:v>
                </c:pt>
                <c:pt idx="2" formatCode="0">
                  <c:v>30</c:v>
                </c:pt>
                <c:pt idx="3" formatCode="0">
                  <c:v>36</c:v>
                </c:pt>
                <c:pt idx="4" formatCode="0">
                  <c:v>43.199999999999996</c:v>
                </c:pt>
                <c:pt idx="5" formatCode="0">
                  <c:v>51.839999999999996</c:v>
                </c:pt>
                <c:pt idx="6" formatCode="0">
                  <c:v>62.207999999999991</c:v>
                </c:pt>
                <c:pt idx="7" formatCode="0">
                  <c:v>74.649599999999992</c:v>
                </c:pt>
                <c:pt idx="8" formatCode="0">
                  <c:v>89.579519999999988</c:v>
                </c:pt>
                <c:pt idx="9" formatCode="0">
                  <c:v>107.49542399999999</c:v>
                </c:pt>
                <c:pt idx="10" formatCode="0">
                  <c:v>128.99450879999998</c:v>
                </c:pt>
                <c:pt idx="11" formatCode="0">
                  <c:v>154.79341055999996</c:v>
                </c:pt>
                <c:pt idx="12" formatCode="0">
                  <c:v>185.75209267199995</c:v>
                </c:pt>
                <c:pt idx="13" formatCode="0">
                  <c:v>222.90251120639994</c:v>
                </c:pt>
                <c:pt idx="14" formatCode="0">
                  <c:v>267.48301344767992</c:v>
                </c:pt>
                <c:pt idx="15" formatCode="0">
                  <c:v>320.97961613721588</c:v>
                </c:pt>
                <c:pt idx="16" formatCode="0">
                  <c:v>385.17553936465907</c:v>
                </c:pt>
                <c:pt idx="17" formatCode="0">
                  <c:v>462.21064723759088</c:v>
                </c:pt>
                <c:pt idx="18" formatCode="0">
                  <c:v>554.65277668510907</c:v>
                </c:pt>
                <c:pt idx="19" formatCode="0">
                  <c:v>665.58333202213089</c:v>
                </c:pt>
                <c:pt idx="20" formatCode="0">
                  <c:v>798.69999842655704</c:v>
                </c:pt>
              </c:numCache>
            </c:numRef>
          </c:xVal>
          <c:yVal>
            <c:numRef>
              <c:f>Weights!$AC$5:$AC$25</c:f>
              <c:numCache>
                <c:formatCode>0.0</c:formatCode>
                <c:ptCount val="21"/>
                <c:pt idx="0">
                  <c:v>13.857257282688288</c:v>
                </c:pt>
                <c:pt idx="1">
                  <c:v>8.5570268479230744</c:v>
                </c:pt>
                <c:pt idx="2">
                  <c:v>10.271336117779427</c:v>
                </c:pt>
                <c:pt idx="3">
                  <c:v>6.3392142102759781</c:v>
                </c:pt>
                <c:pt idx="4">
                  <c:v>8.5880889902824062</c:v>
                </c:pt>
                <c:pt idx="5">
                  <c:v>5.3450518789388592</c:v>
                </c:pt>
                <c:pt idx="6">
                  <c:v>5.4193645158251007</c:v>
                </c:pt>
                <c:pt idx="7">
                  <c:v>4.1735264285655296</c:v>
                </c:pt>
                <c:pt idx="8">
                  <c:v>4.2566126346498478</c:v>
                </c:pt>
                <c:pt idx="9">
                  <c:v>3.384737146536017</c:v>
                </c:pt>
                <c:pt idx="10">
                  <c:v>4.0595289564544599</c:v>
                </c:pt>
                <c:pt idx="11">
                  <c:v>3.460822834663436</c:v>
                </c:pt>
                <c:pt idx="12">
                  <c:v>4.2170573658376371</c:v>
                </c:pt>
                <c:pt idx="13">
                  <c:v>5.3485917502758307</c:v>
                </c:pt>
                <c:pt idx="14">
                  <c:v>6.2929131200708515</c:v>
                </c:pt>
                <c:pt idx="15">
                  <c:v>10.885549455</c:v>
                </c:pt>
                <c:pt idx="16">
                  <c:v>20.830331130516637</c:v>
                </c:pt>
                <c:pt idx="17">
                  <c:v>55.737541305000001</c:v>
                </c:pt>
                <c:pt idx="18">
                  <c:v>308.62734385032894</c:v>
                </c:pt>
                <c:pt idx="19">
                  <c:v>1463.9504551800205</c:v>
                </c:pt>
                <c:pt idx="20">
                  <c:v>9935.4696759201343</c:v>
                </c:pt>
              </c:numCache>
            </c:numRef>
          </c:yVal>
        </c:ser>
        <c:axId val="67666688"/>
        <c:axId val="67668608"/>
      </c:scatterChart>
      <c:valAx>
        <c:axId val="67666688"/>
        <c:scaling>
          <c:orientation val="minMax"/>
          <c:max val="500"/>
        </c:scaling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668608"/>
        <c:crosses val="autoZero"/>
        <c:crossBetween val="midCat"/>
      </c:valAx>
      <c:valAx>
        <c:axId val="67668608"/>
        <c:scaling>
          <c:logBase val="10"/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67666688"/>
        <c:crosses val="autoZero"/>
        <c:crossBetween val="midCat"/>
        <c:minorUnit val="10"/>
      </c:valAx>
    </c:plotArea>
    <c:legend>
      <c:legendPos val="r"/>
      <c:layout>
        <c:manualLayout>
          <c:xMode val="edge"/>
          <c:yMode val="edge"/>
          <c:x val="0.28209448818897609"/>
          <c:y val="8.9173028498341217E-2"/>
          <c:w val="0.21030476630208922"/>
          <c:h val="0.34901994484192012"/>
        </c:manualLayout>
      </c:layout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</xdr:colOff>
      <xdr:row>31</xdr:row>
      <xdr:rowOff>31750</xdr:rowOff>
    </xdr:from>
    <xdr:to>
      <xdr:col>31</xdr:col>
      <xdr:colOff>111125</xdr:colOff>
      <xdr:row>57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G54"/>
  <sheetViews>
    <sheetView workbookViewId="0">
      <selection activeCell="B39" sqref="B39"/>
    </sheetView>
  </sheetViews>
  <sheetFormatPr defaultColWidth="11.5546875" defaultRowHeight="15"/>
  <cols>
    <col min="6" max="6" width="11.33203125" customWidth="1"/>
    <col min="7" max="7" width="11.44140625" customWidth="1"/>
  </cols>
  <sheetData>
    <row r="5" spans="1:7">
      <c r="A5" s="18" t="s">
        <v>17</v>
      </c>
      <c r="B5" s="18"/>
      <c r="C5" s="18"/>
      <c r="D5" s="18"/>
      <c r="E5" s="18"/>
      <c r="F5" s="18"/>
      <c r="G5" s="18"/>
    </row>
    <row r="6" spans="1:7">
      <c r="A6" s="19" t="s">
        <v>5</v>
      </c>
      <c r="B6" s="18">
        <v>0.25</v>
      </c>
      <c r="C6" s="18"/>
      <c r="D6" s="18" t="s">
        <v>11</v>
      </c>
      <c r="E6" s="18">
        <v>1.2</v>
      </c>
      <c r="F6" s="18"/>
      <c r="G6" s="18"/>
    </row>
    <row r="7" spans="1:7">
      <c r="A7" s="18"/>
      <c r="B7" s="18"/>
      <c r="C7" s="18"/>
      <c r="D7" s="18"/>
      <c r="E7" s="18"/>
      <c r="F7" s="18"/>
      <c r="G7" s="18"/>
    </row>
    <row r="8" spans="1:7">
      <c r="A8" s="18" t="s">
        <v>16</v>
      </c>
      <c r="B8" s="18">
        <v>30</v>
      </c>
      <c r="C8" s="18" t="s">
        <v>12</v>
      </c>
      <c r="D8" s="18"/>
      <c r="E8" s="18"/>
      <c r="F8" s="18"/>
      <c r="G8" s="18"/>
    </row>
    <row r="9" spans="1:7">
      <c r="A9" s="18"/>
      <c r="B9" s="22" t="s">
        <v>6</v>
      </c>
      <c r="C9" s="22" t="s">
        <v>13</v>
      </c>
      <c r="D9" s="22" t="s">
        <v>14</v>
      </c>
      <c r="E9" s="22" t="s">
        <v>15</v>
      </c>
      <c r="F9" s="22" t="s">
        <v>75</v>
      </c>
      <c r="G9" s="23" t="s">
        <v>82</v>
      </c>
    </row>
    <row r="10" spans="1:7">
      <c r="A10" s="22" t="s">
        <v>10</v>
      </c>
      <c r="B10" s="22" t="s">
        <v>89</v>
      </c>
      <c r="C10" s="22" t="s">
        <v>89</v>
      </c>
      <c r="D10" s="22" t="s">
        <v>89</v>
      </c>
      <c r="E10" s="22" t="s">
        <v>89</v>
      </c>
      <c r="F10" s="22" t="s">
        <v>86</v>
      </c>
      <c r="G10" s="23" t="s">
        <v>90</v>
      </c>
    </row>
    <row r="11" spans="1:7">
      <c r="A11" s="20">
        <v>1</v>
      </c>
      <c r="B11" s="60">
        <v>20.833333333333336</v>
      </c>
      <c r="C11" s="21">
        <v>18.229166666666668</v>
      </c>
      <c r="D11" s="21">
        <v>23.437500000000004</v>
      </c>
      <c r="E11" s="21">
        <v>5.2083333333333339</v>
      </c>
      <c r="F11" s="21">
        <f>DetectorNoise!E11</f>
        <v>40.8775820854</v>
      </c>
      <c r="G11" s="21">
        <f>DetectorNoise!I11</f>
        <v>13.857257282688288</v>
      </c>
    </row>
    <row r="12" spans="1:7">
      <c r="A12" s="20">
        <v>2</v>
      </c>
      <c r="B12" s="60">
        <v>25</v>
      </c>
      <c r="C12" s="21">
        <v>21.875</v>
      </c>
      <c r="D12" s="21">
        <v>28.125</v>
      </c>
      <c r="E12" s="21">
        <v>6.25</v>
      </c>
      <c r="F12" s="21">
        <f>DetectorNoise!E12</f>
        <v>34.010148295</v>
      </c>
      <c r="G12" s="21">
        <f>DetectorNoise!I12</f>
        <v>8.5570268479230744</v>
      </c>
    </row>
    <row r="13" spans="1:7">
      <c r="A13" s="20">
        <v>3</v>
      </c>
      <c r="B13" s="21">
        <v>30</v>
      </c>
      <c r="C13" s="21">
        <v>26.25</v>
      </c>
      <c r="D13" s="21">
        <v>33.75</v>
      </c>
      <c r="E13" s="21">
        <v>7.5</v>
      </c>
      <c r="F13" s="21">
        <f>DetectorNoise!E13</f>
        <v>31.867202236299999</v>
      </c>
      <c r="G13" s="21">
        <f>DetectorNoise!I13</f>
        <v>10.271336117779427</v>
      </c>
    </row>
    <row r="14" spans="1:7">
      <c r="A14" s="20">
        <v>4</v>
      </c>
      <c r="B14" s="21">
        <v>36</v>
      </c>
      <c r="C14" s="21">
        <v>31.5</v>
      </c>
      <c r="D14" s="21">
        <v>40.5</v>
      </c>
      <c r="E14" s="21">
        <v>9</v>
      </c>
      <c r="F14" s="21">
        <f>DetectorNoise!E14</f>
        <v>26.581900032499998</v>
      </c>
      <c r="G14" s="21">
        <f>DetectorNoise!I14</f>
        <v>6.3392142102759781</v>
      </c>
    </row>
    <row r="15" spans="1:7">
      <c r="A15" s="20">
        <v>5</v>
      </c>
      <c r="B15" s="21">
        <v>43.199999999999996</v>
      </c>
      <c r="C15" s="21">
        <v>37.799999999999997</v>
      </c>
      <c r="D15" s="21">
        <v>48.599999999999994</v>
      </c>
      <c r="E15" s="21">
        <v>10.799999999999999</v>
      </c>
      <c r="F15" s="21">
        <f>DetectorNoise!E15</f>
        <v>27.304657912</v>
      </c>
      <c r="G15" s="21">
        <f>DetectorNoise!I15</f>
        <v>8.5880889902824062</v>
      </c>
    </row>
    <row r="16" spans="1:7">
      <c r="A16" s="20">
        <v>6</v>
      </c>
      <c r="B16" s="21">
        <v>51.839999999999996</v>
      </c>
      <c r="C16" s="21">
        <v>45.36</v>
      </c>
      <c r="D16" s="21">
        <v>58.319999999999993</v>
      </c>
      <c r="E16" s="21">
        <v>12.959999999999999</v>
      </c>
      <c r="F16" s="21">
        <f>DetectorNoise!E16</f>
        <v>22.7103439276</v>
      </c>
      <c r="G16" s="21">
        <f>DetectorNoise!I16</f>
        <v>5.3450518789388592</v>
      </c>
    </row>
    <row r="17" spans="1:7">
      <c r="A17" s="20">
        <v>7</v>
      </c>
      <c r="B17" s="21">
        <v>62.207999999999991</v>
      </c>
      <c r="C17" s="21">
        <v>54.431999999999995</v>
      </c>
      <c r="D17" s="21">
        <v>69.983999999999995</v>
      </c>
      <c r="E17" s="21">
        <v>15.551999999999998</v>
      </c>
      <c r="F17" s="21">
        <f>DetectorNoise!E17</f>
        <v>13.669673752</v>
      </c>
      <c r="G17" s="21">
        <f>DetectorNoise!I17</f>
        <v>5.4193645158251007</v>
      </c>
    </row>
    <row r="18" spans="1:7">
      <c r="A18" s="20">
        <v>8</v>
      </c>
      <c r="B18" s="21">
        <v>74.649599999999992</v>
      </c>
      <c r="C18" s="21">
        <v>65.318399999999997</v>
      </c>
      <c r="D18" s="21">
        <v>83.980799999999988</v>
      </c>
      <c r="E18" s="21">
        <v>18.662399999999998</v>
      </c>
      <c r="F18" s="21">
        <f>DetectorNoise!E18</f>
        <v>11.3898688195</v>
      </c>
      <c r="G18" s="21">
        <f>DetectorNoise!I18</f>
        <v>4.1735264285655296</v>
      </c>
    </row>
    <row r="19" spans="1:7">
      <c r="A19" s="20">
        <v>9</v>
      </c>
      <c r="B19" s="21">
        <v>89.579519999999988</v>
      </c>
      <c r="C19" s="21">
        <v>78.382079999999988</v>
      </c>
      <c r="D19" s="21">
        <v>100.77695999999999</v>
      </c>
      <c r="E19" s="21">
        <v>22.394879999999997</v>
      </c>
      <c r="F19" s="21">
        <f>DetectorNoise!E19</f>
        <v>10.681871389399999</v>
      </c>
      <c r="G19" s="21">
        <f>DetectorNoise!I19</f>
        <v>4.2566126346498478</v>
      </c>
    </row>
    <row r="20" spans="1:7">
      <c r="A20" s="20">
        <v>10</v>
      </c>
      <c r="B20" s="21">
        <v>107.49542399999999</v>
      </c>
      <c r="C20" s="21">
        <v>94.058495999999991</v>
      </c>
      <c r="D20" s="21">
        <v>120.93235199999998</v>
      </c>
      <c r="E20" s="21">
        <v>26.873855999999996</v>
      </c>
      <c r="F20" s="21">
        <f>DetectorNoise!E20</f>
        <v>8.9045589852999996</v>
      </c>
      <c r="G20" s="21">
        <f>DetectorNoise!I20</f>
        <v>3.384737146536017</v>
      </c>
    </row>
    <row r="21" spans="1:7">
      <c r="A21" s="20">
        <v>11</v>
      </c>
      <c r="B21" s="21">
        <v>128.99450879999998</v>
      </c>
      <c r="C21" s="21">
        <v>112.87019519999998</v>
      </c>
      <c r="D21" s="21">
        <v>145.11882239999997</v>
      </c>
      <c r="E21" s="21">
        <v>32.248627199999994</v>
      </c>
      <c r="F21" s="21">
        <f>DetectorNoise!E21</f>
        <v>9.1343940881000005</v>
      </c>
      <c r="G21" s="21">
        <f>DetectorNoise!I21</f>
        <v>4.0595289564544599</v>
      </c>
    </row>
    <row r="22" spans="1:7">
      <c r="A22" s="20">
        <v>12</v>
      </c>
      <c r="B22" s="21">
        <v>154.79341055999996</v>
      </c>
      <c r="C22" s="21">
        <v>135.44423423999996</v>
      </c>
      <c r="D22" s="21">
        <v>174.14258687999995</v>
      </c>
      <c r="E22" s="21">
        <v>38.698352639999989</v>
      </c>
      <c r="F22" s="21">
        <f>DetectorNoise!E22</f>
        <v>7.6174175515</v>
      </c>
      <c r="G22" s="21">
        <f>DetectorNoise!I22</f>
        <v>3.460822834663436</v>
      </c>
    </row>
    <row r="23" spans="1:7">
      <c r="A23" s="20">
        <v>13</v>
      </c>
      <c r="B23" s="21">
        <v>185.75209267199995</v>
      </c>
      <c r="C23" s="21">
        <v>162.53308108799996</v>
      </c>
      <c r="D23" s="21">
        <v>208.97110425599993</v>
      </c>
      <c r="E23" s="21">
        <v>46.438023167999987</v>
      </c>
      <c r="F23" s="21">
        <f>DetectorNoise!E23</f>
        <v>4.5774089226000001</v>
      </c>
      <c r="G23" s="21">
        <f>DetectorNoise!I23</f>
        <v>4.2170573658376371</v>
      </c>
    </row>
    <row r="24" spans="1:7">
      <c r="A24" s="20">
        <v>14</v>
      </c>
      <c r="B24" s="21">
        <v>222.90251120639994</v>
      </c>
      <c r="C24" s="21">
        <v>195.03969730559993</v>
      </c>
      <c r="D24" s="21">
        <v>250.76532510719994</v>
      </c>
      <c r="E24" s="21">
        <v>55.725627801599984</v>
      </c>
      <c r="F24" s="21">
        <f>DetectorNoise!E24</f>
        <v>3.8145074354999999</v>
      </c>
      <c r="G24" s="21">
        <f>DetectorNoise!I24</f>
        <v>5.3485917502758307</v>
      </c>
    </row>
    <row r="25" spans="1:7">
      <c r="A25" s="20">
        <v>15</v>
      </c>
      <c r="B25" s="21">
        <v>267.48301344767992</v>
      </c>
      <c r="C25" s="21">
        <v>234.04763676671993</v>
      </c>
      <c r="D25" s="21">
        <v>300.91839012863989</v>
      </c>
      <c r="E25" s="21">
        <v>66.870753361919981</v>
      </c>
      <c r="F25" s="21">
        <f>DetectorNoise!E25</f>
        <v>3.5777465157999999</v>
      </c>
      <c r="G25" s="21">
        <f>DetectorNoise!I25</f>
        <v>6.2929131200708515</v>
      </c>
    </row>
    <row r="26" spans="1:7">
      <c r="A26" s="20">
        <v>16</v>
      </c>
      <c r="B26" s="21">
        <v>320.97961613721588</v>
      </c>
      <c r="C26" s="21">
        <v>280.85716412006389</v>
      </c>
      <c r="D26" s="21">
        <v>361.10206815436788</v>
      </c>
      <c r="E26" s="21">
        <v>80.244904034303971</v>
      </c>
      <c r="F26" s="21">
        <f>DetectorNoise!E26</f>
        <v>2.9812436747</v>
      </c>
      <c r="G26" s="21">
        <f>DetectorNoise!I26</f>
        <v>10.885549455</v>
      </c>
    </row>
    <row r="27" spans="1:7">
      <c r="A27" s="20">
        <v>17</v>
      </c>
      <c r="B27" s="21">
        <v>385.17553936465907</v>
      </c>
      <c r="C27" s="21">
        <v>337.0285969440767</v>
      </c>
      <c r="D27" s="21">
        <v>433.32248178524145</v>
      </c>
      <c r="E27" s="21">
        <v>96.293884841164768</v>
      </c>
      <c r="F27" s="21">
        <f>DetectorNoise!E27</f>
        <v>3.0586120528</v>
      </c>
      <c r="G27" s="21">
        <f>DetectorNoise!I27</f>
        <v>20.830331130516637</v>
      </c>
    </row>
    <row r="28" spans="1:7">
      <c r="A28" s="20">
        <v>18</v>
      </c>
      <c r="B28" s="21">
        <v>462.21064723759088</v>
      </c>
      <c r="C28" s="21">
        <v>404.43431633289202</v>
      </c>
      <c r="D28" s="21">
        <v>519.98697814228979</v>
      </c>
      <c r="E28" s="21">
        <v>115.55266180939772</v>
      </c>
      <c r="F28" s="21">
        <f>DetectorNoise!E28</f>
        <v>2.549070661</v>
      </c>
      <c r="G28" s="21">
        <f>DetectorNoise!I28</f>
        <v>55.737541305000001</v>
      </c>
    </row>
    <row r="29" spans="1:7">
      <c r="A29" s="20">
        <v>19</v>
      </c>
      <c r="B29" s="21">
        <v>554.65277668510907</v>
      </c>
      <c r="C29" s="21">
        <v>485.32117959947044</v>
      </c>
      <c r="D29" s="21">
        <v>623.98437377074765</v>
      </c>
      <c r="E29" s="21">
        <v>138.66319417127727</v>
      </c>
      <c r="F29" s="21">
        <f>DetectorNoise!E29</f>
        <v>1.5329553906</v>
      </c>
      <c r="G29" s="21">
        <f>DetectorNoise!I29</f>
        <v>308.62734385032894</v>
      </c>
    </row>
    <row r="30" spans="1:7">
      <c r="A30" s="20">
        <v>20</v>
      </c>
      <c r="B30" s="21">
        <v>665.58333202213089</v>
      </c>
      <c r="C30" s="21">
        <v>582.38541551936453</v>
      </c>
      <c r="D30" s="21">
        <v>748.78124852489725</v>
      </c>
      <c r="E30" s="21">
        <v>166.39583300553272</v>
      </c>
      <c r="F30" s="21">
        <f>DetectorNoise!E30</f>
        <v>1.2774244401999999</v>
      </c>
      <c r="G30" s="21">
        <f>DetectorNoise!I30</f>
        <v>1463.9504551800205</v>
      </c>
    </row>
    <row r="31" spans="1:7">
      <c r="A31" s="20">
        <v>21</v>
      </c>
      <c r="B31" s="21">
        <v>798.69999842655704</v>
      </c>
      <c r="C31" s="21">
        <v>698.86249862323746</v>
      </c>
      <c r="D31" s="21">
        <v>898.53749822987663</v>
      </c>
      <c r="E31" s="21">
        <v>199.67499960663926</v>
      </c>
      <c r="F31" s="21">
        <f>DetectorNoise!E31</f>
        <v>1.0645470231</v>
      </c>
      <c r="G31" s="21">
        <f>DetectorNoise!I31</f>
        <v>9935.4696759201343</v>
      </c>
    </row>
    <row r="33" spans="1:3">
      <c r="A33" s="24" t="s">
        <v>18</v>
      </c>
      <c r="B33" s="24" t="s">
        <v>19</v>
      </c>
      <c r="C33" s="24" t="s">
        <v>6</v>
      </c>
    </row>
    <row r="34" spans="1:3">
      <c r="A34" s="15" t="s">
        <v>20</v>
      </c>
      <c r="B34" s="3">
        <v>1</v>
      </c>
      <c r="C34" s="35">
        <v>20.833333333333336</v>
      </c>
    </row>
    <row r="35" spans="1:3">
      <c r="A35" s="17"/>
      <c r="B35" s="4">
        <v>3</v>
      </c>
      <c r="C35" s="4">
        <v>30</v>
      </c>
    </row>
    <row r="36" spans="1:3">
      <c r="A36" s="16"/>
      <c r="B36" s="5">
        <v>5</v>
      </c>
      <c r="C36" s="6">
        <v>43.2</v>
      </c>
    </row>
    <row r="37" spans="1:3">
      <c r="A37" s="15" t="s">
        <v>21</v>
      </c>
      <c r="B37" s="3">
        <v>2</v>
      </c>
      <c r="C37" s="3">
        <v>25</v>
      </c>
    </row>
    <row r="38" spans="1:3">
      <c r="A38" s="17"/>
      <c r="B38" s="4">
        <v>4</v>
      </c>
      <c r="C38" s="7">
        <v>36</v>
      </c>
    </row>
    <row r="39" spans="1:3">
      <c r="A39" s="16"/>
      <c r="B39" s="5">
        <v>6</v>
      </c>
      <c r="C39" s="6">
        <v>51.8</v>
      </c>
    </row>
    <row r="40" spans="1:3">
      <c r="A40" s="15" t="s">
        <v>22</v>
      </c>
      <c r="B40" s="3">
        <v>7</v>
      </c>
      <c r="C40" s="8">
        <v>62.2</v>
      </c>
    </row>
    <row r="41" spans="1:3">
      <c r="A41" s="17"/>
      <c r="B41" s="4">
        <v>9</v>
      </c>
      <c r="C41" s="7">
        <v>89.6</v>
      </c>
    </row>
    <row r="42" spans="1:3">
      <c r="A42" s="16"/>
      <c r="B42" s="5">
        <v>11</v>
      </c>
      <c r="C42" s="6">
        <v>129</v>
      </c>
    </row>
    <row r="43" spans="1:3">
      <c r="A43" s="15" t="s">
        <v>23</v>
      </c>
      <c r="B43" s="3">
        <v>8</v>
      </c>
      <c r="C43" s="8">
        <v>74.599999999999994</v>
      </c>
    </row>
    <row r="44" spans="1:3">
      <c r="A44" s="17"/>
      <c r="B44" s="4">
        <v>10</v>
      </c>
      <c r="C44" s="7">
        <v>107.5</v>
      </c>
    </row>
    <row r="45" spans="1:3">
      <c r="A45" s="16"/>
      <c r="B45" s="5">
        <v>12</v>
      </c>
      <c r="C45" s="6">
        <v>154.80000000000001</v>
      </c>
    </row>
    <row r="46" spans="1:3">
      <c r="A46" s="15" t="s">
        <v>24</v>
      </c>
      <c r="B46" s="3">
        <v>13</v>
      </c>
      <c r="C46" s="8">
        <v>185.8</v>
      </c>
    </row>
    <row r="47" spans="1:3">
      <c r="A47" s="17"/>
      <c r="B47" s="4">
        <v>15</v>
      </c>
      <c r="C47" s="7">
        <v>267.5</v>
      </c>
    </row>
    <row r="48" spans="1:3">
      <c r="A48" s="16"/>
      <c r="B48" s="5">
        <v>17</v>
      </c>
      <c r="C48" s="6">
        <v>385.2</v>
      </c>
    </row>
    <row r="49" spans="1:3">
      <c r="A49" s="15" t="s">
        <v>25</v>
      </c>
      <c r="B49" s="3">
        <v>14</v>
      </c>
      <c r="C49" s="8">
        <v>222.9</v>
      </c>
    </row>
    <row r="50" spans="1:3">
      <c r="A50" s="17"/>
      <c r="B50" s="4">
        <v>16</v>
      </c>
      <c r="C50" s="7">
        <v>321</v>
      </c>
    </row>
    <row r="51" spans="1:3">
      <c r="A51" s="5"/>
      <c r="B51" s="36">
        <v>18</v>
      </c>
      <c r="C51" s="37">
        <v>462.2</v>
      </c>
    </row>
    <row r="52" spans="1:3">
      <c r="A52" s="38" t="s">
        <v>26</v>
      </c>
      <c r="B52" s="39">
        <v>19</v>
      </c>
      <c r="C52" s="40">
        <v>554.70000000000005</v>
      </c>
    </row>
    <row r="53" spans="1:3">
      <c r="A53" s="38" t="s">
        <v>91</v>
      </c>
      <c r="B53" s="39">
        <v>20</v>
      </c>
      <c r="C53" s="40">
        <v>665.6</v>
      </c>
    </row>
    <row r="54" spans="1:3">
      <c r="A54" s="38" t="s">
        <v>92</v>
      </c>
      <c r="B54" s="39">
        <v>21</v>
      </c>
      <c r="C54" s="40">
        <v>798.7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M54"/>
  <sheetViews>
    <sheetView tabSelected="1" topLeftCell="A7" workbookViewId="0">
      <selection activeCell="D35" sqref="D35"/>
    </sheetView>
  </sheetViews>
  <sheetFormatPr defaultColWidth="11.5546875" defaultRowHeight="15"/>
  <cols>
    <col min="6" max="6" width="12" customWidth="1"/>
    <col min="7" max="7" width="11.44140625" customWidth="1"/>
  </cols>
  <sheetData>
    <row r="3" spans="1:13">
      <c r="A3" s="46" t="s">
        <v>93</v>
      </c>
    </row>
    <row r="4" spans="1:13">
      <c r="A4" s="43" t="s">
        <v>94</v>
      </c>
      <c r="B4" s="4"/>
      <c r="C4" s="4"/>
      <c r="D4" s="4"/>
      <c r="E4" s="4"/>
      <c r="F4" s="4"/>
      <c r="G4" s="4"/>
    </row>
    <row r="5" spans="1:13">
      <c r="A5" s="45">
        <v>43017</v>
      </c>
      <c r="B5" s="44"/>
      <c r="C5" s="53" t="s">
        <v>104</v>
      </c>
      <c r="D5" s="53"/>
      <c r="E5" s="44">
        <v>4</v>
      </c>
      <c r="F5" s="44" t="s">
        <v>105</v>
      </c>
      <c r="G5" s="44"/>
    </row>
    <row r="6" spans="1:13">
      <c r="B6" s="44"/>
      <c r="C6" s="44"/>
      <c r="D6" s="44"/>
      <c r="E6" s="44"/>
      <c r="F6" s="44"/>
      <c r="G6" s="44"/>
    </row>
    <row r="7" spans="1:13">
      <c r="B7" s="44"/>
      <c r="C7" s="44"/>
      <c r="D7" s="44"/>
      <c r="E7" s="44"/>
      <c r="F7" s="44"/>
      <c r="G7" s="44"/>
    </row>
    <row r="8" spans="1:13">
      <c r="A8" s="44"/>
      <c r="B8" s="44"/>
      <c r="C8" s="44"/>
      <c r="D8" s="44"/>
      <c r="E8" s="44"/>
      <c r="F8" s="44"/>
      <c r="G8" s="44"/>
    </row>
    <row r="9" spans="1:13">
      <c r="A9" s="47"/>
      <c r="B9" s="47"/>
      <c r="C9" s="47" t="s">
        <v>6</v>
      </c>
      <c r="D9" s="47" t="s">
        <v>100</v>
      </c>
      <c r="E9" s="47" t="s">
        <v>75</v>
      </c>
      <c r="F9" s="47" t="s">
        <v>101</v>
      </c>
      <c r="G9" s="47"/>
      <c r="H9" s="47" t="s">
        <v>102</v>
      </c>
      <c r="I9" s="47" t="s">
        <v>103</v>
      </c>
    </row>
    <row r="10" spans="1:13">
      <c r="A10" s="47" t="s">
        <v>10</v>
      </c>
      <c r="B10" s="47" t="s">
        <v>95</v>
      </c>
      <c r="C10" s="47" t="s">
        <v>89</v>
      </c>
      <c r="D10" s="47" t="s">
        <v>97</v>
      </c>
      <c r="E10" s="47" t="s">
        <v>86</v>
      </c>
      <c r="F10" s="47" t="s">
        <v>98</v>
      </c>
      <c r="G10" s="47" t="s">
        <v>96</v>
      </c>
      <c r="H10" s="47" t="s">
        <v>98</v>
      </c>
      <c r="I10" s="47" t="s">
        <v>99</v>
      </c>
    </row>
    <row r="11" spans="1:13">
      <c r="A11" s="42">
        <v>1</v>
      </c>
      <c r="B11" s="48" t="s">
        <v>20</v>
      </c>
      <c r="C11" s="42">
        <v>20.833333333333336</v>
      </c>
      <c r="D11" s="42">
        <v>10</v>
      </c>
      <c r="E11" s="42">
        <v>40.8775820854</v>
      </c>
      <c r="F11" s="42">
        <v>67.612460347500004</v>
      </c>
      <c r="G11" s="41">
        <v>56</v>
      </c>
      <c r="H11" s="42">
        <f>F11/SQRT(G11)</f>
        <v>9.0350950606137008</v>
      </c>
      <c r="I11" s="42">
        <f t="shared" ref="I11:I31" si="0">H11*2.169*SQRT(2)/SQRT($E$5)</f>
        <v>13.857257282688288</v>
      </c>
      <c r="J11" s="50"/>
      <c r="K11" s="49"/>
      <c r="L11" s="51"/>
      <c r="M11" s="52"/>
    </row>
    <row r="12" spans="1:13">
      <c r="A12" s="42">
        <v>2</v>
      </c>
      <c r="B12" s="48" t="s">
        <v>21</v>
      </c>
      <c r="C12" s="42">
        <v>25</v>
      </c>
      <c r="D12" s="42">
        <v>10</v>
      </c>
      <c r="E12" s="42">
        <v>34.010148295</v>
      </c>
      <c r="F12" s="42">
        <v>62.128258901499997</v>
      </c>
      <c r="G12" s="41">
        <v>124</v>
      </c>
      <c r="H12" s="42">
        <f t="shared" ref="H12:H31" si="1">F12/SQRT(G12)</f>
        <v>5.5792823522007868</v>
      </c>
      <c r="I12" s="42">
        <f t="shared" si="0"/>
        <v>8.5570268479230744</v>
      </c>
      <c r="J12" s="50"/>
      <c r="K12" s="49"/>
      <c r="L12" s="51"/>
      <c r="M12" s="52"/>
    </row>
    <row r="13" spans="1:13">
      <c r="A13" s="42">
        <v>3</v>
      </c>
      <c r="B13" s="48" t="s">
        <v>20</v>
      </c>
      <c r="C13" s="42">
        <v>30</v>
      </c>
      <c r="D13" s="42">
        <v>20.802514792899998</v>
      </c>
      <c r="E13" s="42">
        <v>31.867202236299999</v>
      </c>
      <c r="F13" s="42">
        <v>50.116</v>
      </c>
      <c r="G13" s="41">
        <v>56</v>
      </c>
      <c r="H13" s="42">
        <f t="shared" si="1"/>
        <v>6.6970321998415301</v>
      </c>
      <c r="I13" s="42">
        <f t="shared" si="0"/>
        <v>10.271336117779427</v>
      </c>
      <c r="J13" s="50"/>
      <c r="K13" s="49"/>
      <c r="L13" s="51"/>
      <c r="M13" s="52"/>
    </row>
    <row r="14" spans="1:13">
      <c r="A14" s="42">
        <v>4</v>
      </c>
      <c r="B14" s="48" t="s">
        <v>21</v>
      </c>
      <c r="C14" s="42">
        <v>36</v>
      </c>
      <c r="D14" s="42">
        <v>20.736000000000001</v>
      </c>
      <c r="E14" s="42">
        <v>26.581900032499998</v>
      </c>
      <c r="F14" s="42">
        <v>46.0258391948</v>
      </c>
      <c r="G14" s="41">
        <v>124</v>
      </c>
      <c r="H14" s="42">
        <f t="shared" si="1"/>
        <v>4.1332423748089147</v>
      </c>
      <c r="I14" s="42">
        <f t="shared" si="0"/>
        <v>6.3392142102759781</v>
      </c>
      <c r="J14" s="50"/>
      <c r="K14" s="49"/>
      <c r="L14" s="51"/>
      <c r="M14" s="52"/>
    </row>
    <row r="15" spans="1:13">
      <c r="A15" s="42">
        <v>5</v>
      </c>
      <c r="B15" s="48" t="s">
        <v>20</v>
      </c>
      <c r="C15" s="42">
        <v>43.199999999999996</v>
      </c>
      <c r="D15" s="42">
        <v>43.136094674600002</v>
      </c>
      <c r="E15" s="42">
        <v>27.304657912</v>
      </c>
      <c r="F15" s="42">
        <v>41.903084749800001</v>
      </c>
      <c r="G15" s="41">
        <v>56</v>
      </c>
      <c r="H15" s="42">
        <f t="shared" si="1"/>
        <v>5.5995352350965595</v>
      </c>
      <c r="I15" s="42">
        <f t="shared" si="0"/>
        <v>8.5880889902824062</v>
      </c>
      <c r="J15" s="50"/>
      <c r="K15" s="49"/>
      <c r="L15" s="51"/>
      <c r="M15" s="52"/>
    </row>
    <row r="16" spans="1:13">
      <c r="A16" s="42">
        <v>6</v>
      </c>
      <c r="B16" s="48" t="s">
        <v>21</v>
      </c>
      <c r="C16" s="42">
        <v>51.839999999999996</v>
      </c>
      <c r="D16" s="42">
        <v>42.931840000000001</v>
      </c>
      <c r="E16" s="42">
        <v>22.7103439276</v>
      </c>
      <c r="F16" s="42">
        <v>38.8077275996</v>
      </c>
      <c r="G16" s="41">
        <v>124</v>
      </c>
      <c r="H16" s="42">
        <f t="shared" si="1"/>
        <v>3.4850368182494833</v>
      </c>
      <c r="I16" s="42">
        <f t="shared" si="0"/>
        <v>5.3450518789388592</v>
      </c>
      <c r="J16" s="50"/>
      <c r="K16" s="49"/>
      <c r="L16" s="51"/>
      <c r="M16" s="52"/>
    </row>
    <row r="17" spans="1:13">
      <c r="A17" s="42">
        <v>7</v>
      </c>
      <c r="B17" s="48" t="s">
        <v>22</v>
      </c>
      <c r="C17" s="42">
        <v>62.207999999999991</v>
      </c>
      <c r="D17" s="42">
        <v>10</v>
      </c>
      <c r="E17" s="42">
        <v>13.669673752</v>
      </c>
      <c r="F17" s="42">
        <v>41.207214979200003</v>
      </c>
      <c r="G17" s="41">
        <v>136</v>
      </c>
      <c r="H17" s="42">
        <f t="shared" si="1"/>
        <v>3.5334895332979985</v>
      </c>
      <c r="I17" s="42">
        <f t="shared" si="0"/>
        <v>5.4193645158251007</v>
      </c>
      <c r="J17" s="50"/>
      <c r="K17" s="49"/>
      <c r="L17" s="51"/>
      <c r="M17" s="52"/>
    </row>
    <row r="18" spans="1:13">
      <c r="A18" s="42">
        <v>8</v>
      </c>
      <c r="B18" s="48" t="s">
        <v>23</v>
      </c>
      <c r="C18" s="42">
        <v>74.649599999999992</v>
      </c>
      <c r="D18" s="42">
        <v>10</v>
      </c>
      <c r="E18" s="42">
        <v>11.3898688195</v>
      </c>
      <c r="F18" s="42">
        <v>38.675354088100001</v>
      </c>
      <c r="G18" s="41">
        <v>202</v>
      </c>
      <c r="H18" s="42">
        <f t="shared" si="1"/>
        <v>2.7211884177961818</v>
      </c>
      <c r="I18" s="42">
        <f t="shared" si="0"/>
        <v>4.1735264285655296</v>
      </c>
      <c r="J18" s="50"/>
      <c r="K18" s="49"/>
      <c r="L18" s="51"/>
      <c r="M18" s="52"/>
    </row>
    <row r="19" spans="1:13">
      <c r="A19" s="42">
        <v>9</v>
      </c>
      <c r="B19" s="48" t="s">
        <v>22</v>
      </c>
      <c r="C19" s="42">
        <v>89.579519999999988</v>
      </c>
      <c r="D19" s="42">
        <v>20.750819366999998</v>
      </c>
      <c r="E19" s="42">
        <v>10.681871389399999</v>
      </c>
      <c r="F19" s="42">
        <v>32.366</v>
      </c>
      <c r="G19" s="41">
        <v>136</v>
      </c>
      <c r="H19" s="42">
        <f t="shared" si="1"/>
        <v>2.7753616033612203</v>
      </c>
      <c r="I19" s="42">
        <f t="shared" si="0"/>
        <v>4.2566126346498478</v>
      </c>
      <c r="J19" s="50"/>
      <c r="K19" s="49"/>
      <c r="L19" s="51"/>
      <c r="M19" s="52"/>
    </row>
    <row r="20" spans="1:13">
      <c r="A20" s="42">
        <v>10</v>
      </c>
      <c r="B20" s="48" t="s">
        <v>23</v>
      </c>
      <c r="C20" s="42">
        <v>107.49542399999999</v>
      </c>
      <c r="D20" s="42">
        <v>20.765350861400002</v>
      </c>
      <c r="E20" s="42">
        <v>8.9045589852999996</v>
      </c>
      <c r="F20" s="42">
        <v>31.3657790068</v>
      </c>
      <c r="G20" s="41">
        <v>202</v>
      </c>
      <c r="H20" s="42">
        <f t="shared" si="1"/>
        <v>2.2068885097737412</v>
      </c>
      <c r="I20" s="42">
        <f t="shared" si="0"/>
        <v>3.384737146536017</v>
      </c>
      <c r="J20" s="50"/>
      <c r="K20" s="49"/>
      <c r="L20" s="51"/>
      <c r="M20" s="52"/>
    </row>
    <row r="21" spans="1:13">
      <c r="A21" s="42">
        <v>11</v>
      </c>
      <c r="B21" s="48" t="s">
        <v>22</v>
      </c>
      <c r="C21" s="42">
        <v>128.99450879999998</v>
      </c>
      <c r="D21" s="42">
        <v>43.012892753400003</v>
      </c>
      <c r="E21" s="42">
        <v>9.1343940881000005</v>
      </c>
      <c r="F21" s="42">
        <v>30.867435090299999</v>
      </c>
      <c r="G21" s="41">
        <v>136</v>
      </c>
      <c r="H21" s="42">
        <f t="shared" si="1"/>
        <v>2.6468607224823395</v>
      </c>
      <c r="I21" s="42">
        <f t="shared" si="0"/>
        <v>4.0595289564544599</v>
      </c>
      <c r="J21" s="50"/>
      <c r="K21" s="49"/>
      <c r="L21" s="51"/>
      <c r="M21" s="52"/>
    </row>
    <row r="22" spans="1:13">
      <c r="A22" s="42">
        <v>12</v>
      </c>
      <c r="B22" s="48" t="s">
        <v>23</v>
      </c>
      <c r="C22" s="42">
        <v>154.79341055999996</v>
      </c>
      <c r="D22" s="42">
        <v>43.059031546299998</v>
      </c>
      <c r="E22" s="42">
        <v>7.6174175515</v>
      </c>
      <c r="F22" s="42">
        <v>32.070852037900003</v>
      </c>
      <c r="G22" s="41">
        <v>202</v>
      </c>
      <c r="H22" s="42">
        <f t="shared" si="1"/>
        <v>2.2564972751274919</v>
      </c>
      <c r="I22" s="42">
        <f t="shared" si="0"/>
        <v>3.460822834663436</v>
      </c>
      <c r="J22" s="50"/>
      <c r="K22" s="49"/>
      <c r="L22" s="51"/>
      <c r="M22" s="52"/>
    </row>
    <row r="23" spans="1:13">
      <c r="A23" s="42">
        <v>13</v>
      </c>
      <c r="B23" s="48" t="s">
        <v>24</v>
      </c>
      <c r="C23" s="42">
        <v>185.75209267199995</v>
      </c>
      <c r="D23" s="42">
        <v>10</v>
      </c>
      <c r="E23" s="42">
        <v>4.5774089226000001</v>
      </c>
      <c r="F23" s="42">
        <v>40.782730092500003</v>
      </c>
      <c r="G23" s="41">
        <v>220</v>
      </c>
      <c r="H23" s="42">
        <f t="shared" si="1"/>
        <v>2.7495711019239026</v>
      </c>
      <c r="I23" s="42">
        <f t="shared" si="0"/>
        <v>4.2170573658376371</v>
      </c>
      <c r="J23" s="50"/>
      <c r="K23" s="49"/>
      <c r="L23" s="51"/>
      <c r="M23" s="52"/>
    </row>
    <row r="24" spans="1:13">
      <c r="A24" s="42">
        <v>14</v>
      </c>
      <c r="B24" s="48" t="s">
        <v>25</v>
      </c>
      <c r="C24" s="42">
        <v>222.90251120639994</v>
      </c>
      <c r="D24" s="42">
        <v>10</v>
      </c>
      <c r="E24" s="42">
        <v>3.8145074354999999</v>
      </c>
      <c r="F24" s="42">
        <v>49.318503921400001</v>
      </c>
      <c r="G24" s="41">
        <v>200</v>
      </c>
      <c r="H24" s="42">
        <f t="shared" si="1"/>
        <v>3.4873448560797278</v>
      </c>
      <c r="I24" s="42">
        <f t="shared" si="0"/>
        <v>5.3485917502758307</v>
      </c>
      <c r="J24" s="50"/>
      <c r="K24" s="49"/>
      <c r="L24" s="51"/>
      <c r="M24" s="52"/>
    </row>
    <row r="25" spans="1:13">
      <c r="A25" s="42">
        <v>15</v>
      </c>
      <c r="B25" s="48" t="s">
        <v>24</v>
      </c>
      <c r="C25" s="42">
        <v>267.48301344767992</v>
      </c>
      <c r="D25" s="42">
        <v>20.727940503399999</v>
      </c>
      <c r="E25" s="42">
        <v>3.5777465157999999</v>
      </c>
      <c r="F25" s="42">
        <v>60.858118590099998</v>
      </c>
      <c r="G25" s="41">
        <v>220</v>
      </c>
      <c r="H25" s="42">
        <f t="shared" si="1"/>
        <v>4.1030535183217092</v>
      </c>
      <c r="I25" s="42">
        <f t="shared" si="0"/>
        <v>6.2929131200708515</v>
      </c>
      <c r="J25" s="50"/>
      <c r="K25" s="49"/>
      <c r="L25" s="51"/>
      <c r="M25" s="52"/>
    </row>
    <row r="26" spans="1:13">
      <c r="A26" s="42">
        <v>16</v>
      </c>
      <c r="B26" s="48" t="s">
        <v>25</v>
      </c>
      <c r="C26" s="42">
        <v>320.97961613721588</v>
      </c>
      <c r="D26" s="42">
        <v>20.739101058100001</v>
      </c>
      <c r="E26" s="42">
        <v>2.9812436747</v>
      </c>
      <c r="F26" s="42">
        <v>100.37390000000001</v>
      </c>
      <c r="G26" s="41">
        <v>200</v>
      </c>
      <c r="H26" s="42">
        <f t="shared" si="1"/>
        <v>7.0975065344140402</v>
      </c>
      <c r="I26" s="42">
        <f t="shared" si="0"/>
        <v>10.885549455</v>
      </c>
      <c r="J26" s="50"/>
      <c r="K26" s="49"/>
      <c r="L26" s="51"/>
      <c r="M26" s="52"/>
    </row>
    <row r="27" spans="1:13">
      <c r="A27" s="42">
        <v>17</v>
      </c>
      <c r="B27" s="48" t="s">
        <v>24</v>
      </c>
      <c r="C27" s="42">
        <v>385.17553936465907</v>
      </c>
      <c r="D27" s="42">
        <v>42.981457427899997</v>
      </c>
      <c r="E27" s="42">
        <v>3.0586120528</v>
      </c>
      <c r="F27" s="42">
        <v>201.44800000000001</v>
      </c>
      <c r="G27" s="41">
        <v>220</v>
      </c>
      <c r="H27" s="42">
        <f t="shared" si="1"/>
        <v>13.58162138934952</v>
      </c>
      <c r="I27" s="42">
        <f t="shared" si="0"/>
        <v>20.830331130516637</v>
      </c>
      <c r="J27" s="50"/>
      <c r="K27" s="49"/>
      <c r="L27" s="51"/>
      <c r="M27" s="52"/>
    </row>
    <row r="28" spans="1:13">
      <c r="A28" s="42">
        <v>18</v>
      </c>
      <c r="B28" s="48" t="s">
        <v>25</v>
      </c>
      <c r="C28" s="42">
        <v>462.21064723759088</v>
      </c>
      <c r="D28" s="42">
        <v>42.997157458399997</v>
      </c>
      <c r="E28" s="42">
        <v>2.549070661</v>
      </c>
      <c r="F28" s="42">
        <v>513.94690000000003</v>
      </c>
      <c r="G28" s="41">
        <v>200</v>
      </c>
      <c r="H28" s="42">
        <f t="shared" si="1"/>
        <v>36.341533815980441</v>
      </c>
      <c r="I28" s="42">
        <f t="shared" si="0"/>
        <v>55.737541305000001</v>
      </c>
      <c r="J28" s="50"/>
      <c r="K28" s="49"/>
      <c r="L28" s="51"/>
      <c r="M28" s="52"/>
    </row>
    <row r="29" spans="1:13">
      <c r="A29" s="42">
        <v>19</v>
      </c>
      <c r="B29" s="48" t="s">
        <v>26</v>
      </c>
      <c r="C29" s="42">
        <v>554.65277668510907</v>
      </c>
      <c r="D29" s="42">
        <v>10</v>
      </c>
      <c r="E29" s="42">
        <v>1.5329553906</v>
      </c>
      <c r="F29" s="42">
        <v>1799.8439000000001</v>
      </c>
      <c r="G29" s="41">
        <v>80</v>
      </c>
      <c r="H29" s="42">
        <f t="shared" si="1"/>
        <v>201.22866546441668</v>
      </c>
      <c r="I29" s="42">
        <f t="shared" si="0"/>
        <v>308.62734385032894</v>
      </c>
      <c r="J29" s="50"/>
      <c r="L29" s="51"/>
      <c r="M29" s="52"/>
    </row>
    <row r="30" spans="1:13">
      <c r="A30" s="42">
        <v>20</v>
      </c>
      <c r="B30" s="48" t="s">
        <v>91</v>
      </c>
      <c r="C30" s="42">
        <v>665.58333202213089</v>
      </c>
      <c r="D30" s="42">
        <v>10</v>
      </c>
      <c r="E30" s="42">
        <v>1.2774244401999999</v>
      </c>
      <c r="F30" s="42">
        <v>7986.0282999999999</v>
      </c>
      <c r="G30" s="41">
        <v>70</v>
      </c>
      <c r="H30" s="42">
        <f t="shared" si="1"/>
        <v>954.51294991141117</v>
      </c>
      <c r="I30" s="42">
        <f t="shared" si="0"/>
        <v>1463.9504551800205</v>
      </c>
      <c r="J30" s="50"/>
      <c r="L30" s="51"/>
      <c r="M30" s="52"/>
    </row>
    <row r="31" spans="1:13">
      <c r="A31" s="41">
        <v>21</v>
      </c>
      <c r="B31" s="48" t="s">
        <v>92</v>
      </c>
      <c r="C31" s="42">
        <v>798.69999842655704</v>
      </c>
      <c r="D31" s="25">
        <v>10</v>
      </c>
      <c r="E31" s="42">
        <v>1.0645470231</v>
      </c>
      <c r="F31" s="42">
        <v>50178.707799999996</v>
      </c>
      <c r="G31" s="41">
        <v>60</v>
      </c>
      <c r="H31" s="42">
        <f t="shared" si="1"/>
        <v>6478.043321453606</v>
      </c>
      <c r="I31" s="42">
        <f t="shared" si="0"/>
        <v>9935.4696759201343</v>
      </c>
      <c r="J31" s="50"/>
      <c r="L31" s="51"/>
      <c r="M31" s="52"/>
    </row>
    <row r="32" spans="1:13">
      <c r="J32" s="50"/>
    </row>
    <row r="33" spans="1:10">
      <c r="A33" s="34" t="s">
        <v>18</v>
      </c>
      <c r="B33" s="34" t="s">
        <v>19</v>
      </c>
      <c r="C33" s="34" t="s">
        <v>6</v>
      </c>
      <c r="E33" s="49"/>
      <c r="F33" s="49"/>
      <c r="H33" s="49"/>
      <c r="I33" s="49"/>
      <c r="J33" s="50"/>
    </row>
    <row r="34" spans="1:10">
      <c r="A34" s="15" t="s">
        <v>20</v>
      </c>
      <c r="B34" s="3">
        <v>1</v>
      </c>
      <c r="C34" s="35">
        <v>20.833333333333336</v>
      </c>
      <c r="E34" s="49" t="s">
        <v>108</v>
      </c>
      <c r="F34" s="49" t="s">
        <v>109</v>
      </c>
      <c r="H34" s="49"/>
      <c r="I34" s="49"/>
      <c r="J34" s="50"/>
    </row>
    <row r="35" spans="1:10">
      <c r="A35" s="17"/>
      <c r="B35" s="4">
        <v>3</v>
      </c>
      <c r="C35" s="4">
        <v>30</v>
      </c>
      <c r="E35" s="49"/>
      <c r="F35" s="49" t="s">
        <v>110</v>
      </c>
      <c r="I35" s="49"/>
      <c r="J35" s="50"/>
    </row>
    <row r="36" spans="1:10">
      <c r="A36" s="16"/>
      <c r="B36" s="5">
        <v>5</v>
      </c>
      <c r="C36" s="6">
        <v>43.2</v>
      </c>
      <c r="E36" s="49"/>
      <c r="F36" s="49" t="s">
        <v>111</v>
      </c>
      <c r="H36" s="49"/>
      <c r="I36" s="49"/>
      <c r="J36" s="50"/>
    </row>
    <row r="37" spans="1:10">
      <c r="A37" s="15" t="s">
        <v>21</v>
      </c>
      <c r="B37" s="3">
        <v>2</v>
      </c>
      <c r="C37" s="3">
        <v>25</v>
      </c>
      <c r="E37" s="49"/>
      <c r="F37" s="49"/>
      <c r="H37" s="49"/>
      <c r="I37" s="49"/>
      <c r="J37" s="50"/>
    </row>
    <row r="38" spans="1:10">
      <c r="A38" s="17"/>
      <c r="B38" s="4">
        <v>4</v>
      </c>
      <c r="C38" s="7">
        <v>36</v>
      </c>
      <c r="E38" s="49"/>
      <c r="F38" s="49"/>
      <c r="I38" s="49"/>
      <c r="J38" s="50"/>
    </row>
    <row r="39" spans="1:10">
      <c r="A39" s="16"/>
      <c r="B39" s="5">
        <v>6</v>
      </c>
      <c r="C39" s="6">
        <v>51.8</v>
      </c>
      <c r="E39" s="49"/>
      <c r="F39" s="49"/>
      <c r="H39" s="49"/>
      <c r="I39" s="49"/>
      <c r="J39" s="50"/>
    </row>
    <row r="40" spans="1:10">
      <c r="A40" s="15" t="s">
        <v>22</v>
      </c>
      <c r="B40" s="3">
        <v>7</v>
      </c>
      <c r="C40" s="8">
        <v>62.2</v>
      </c>
      <c r="E40" s="49"/>
      <c r="F40" s="49"/>
      <c r="H40" s="49"/>
      <c r="I40" s="49"/>
      <c r="J40" s="50"/>
    </row>
    <row r="41" spans="1:10">
      <c r="A41" s="17"/>
      <c r="B41" s="4">
        <v>9</v>
      </c>
      <c r="C41" s="7">
        <v>89.6</v>
      </c>
      <c r="E41" s="49"/>
      <c r="F41" s="49"/>
      <c r="H41" s="49"/>
      <c r="I41" s="49"/>
      <c r="J41" s="50"/>
    </row>
    <row r="42" spans="1:10">
      <c r="A42" s="16"/>
      <c r="B42" s="5">
        <v>11</v>
      </c>
      <c r="C42" s="6">
        <v>129</v>
      </c>
      <c r="E42" s="49"/>
      <c r="F42" s="49"/>
      <c r="H42" s="49"/>
      <c r="I42" s="49"/>
      <c r="J42" s="50"/>
    </row>
    <row r="43" spans="1:10">
      <c r="A43" s="15" t="s">
        <v>23</v>
      </c>
      <c r="B43" s="3">
        <v>8</v>
      </c>
      <c r="C43" s="8">
        <v>74.599999999999994</v>
      </c>
      <c r="E43" s="49"/>
      <c r="F43" s="49"/>
      <c r="H43" s="49"/>
      <c r="I43" s="49"/>
      <c r="J43" s="50"/>
    </row>
    <row r="44" spans="1:10">
      <c r="A44" s="17"/>
      <c r="B44" s="4">
        <v>10</v>
      </c>
      <c r="C44" s="7">
        <v>107.5</v>
      </c>
      <c r="E44" s="49"/>
      <c r="F44" s="49"/>
      <c r="H44" s="49"/>
      <c r="I44" s="49"/>
      <c r="J44" s="50"/>
    </row>
    <row r="45" spans="1:10">
      <c r="A45" s="16"/>
      <c r="B45" s="5">
        <v>12</v>
      </c>
      <c r="C45" s="6">
        <v>154.80000000000001</v>
      </c>
      <c r="E45" s="49"/>
      <c r="F45" s="49"/>
      <c r="H45" s="49"/>
      <c r="I45" s="49"/>
      <c r="J45" s="50"/>
    </row>
    <row r="46" spans="1:10">
      <c r="A46" s="15" t="s">
        <v>24</v>
      </c>
      <c r="B46" s="3">
        <v>13</v>
      </c>
      <c r="C46" s="8">
        <v>185.8</v>
      </c>
      <c r="E46" s="49"/>
      <c r="F46" s="49"/>
      <c r="H46" s="49"/>
      <c r="I46" s="49"/>
      <c r="J46" s="50"/>
    </row>
    <row r="47" spans="1:10">
      <c r="A47" s="17"/>
      <c r="B47" s="4">
        <v>15</v>
      </c>
      <c r="C47" s="7">
        <v>267.5</v>
      </c>
      <c r="E47" s="49"/>
      <c r="F47" s="49"/>
      <c r="H47" s="49"/>
      <c r="I47" s="49"/>
      <c r="J47" s="50"/>
    </row>
    <row r="48" spans="1:10">
      <c r="A48" s="16"/>
      <c r="B48" s="5">
        <v>17</v>
      </c>
      <c r="C48" s="6">
        <v>385.2</v>
      </c>
      <c r="E48" s="49"/>
      <c r="F48" s="49"/>
      <c r="H48" s="49"/>
      <c r="I48" s="49"/>
      <c r="J48" s="50"/>
    </row>
    <row r="49" spans="1:10">
      <c r="A49" s="15" t="s">
        <v>25</v>
      </c>
      <c r="B49" s="3">
        <v>14</v>
      </c>
      <c r="C49" s="8">
        <v>222.9</v>
      </c>
      <c r="E49" s="49"/>
      <c r="F49" s="49"/>
      <c r="H49" s="49"/>
      <c r="I49" s="49"/>
      <c r="J49" s="50"/>
    </row>
    <row r="50" spans="1:10">
      <c r="A50" s="17"/>
      <c r="B50" s="4">
        <v>16</v>
      </c>
      <c r="C50" s="7">
        <v>321</v>
      </c>
      <c r="E50" s="49"/>
      <c r="H50" s="49"/>
      <c r="I50" s="49"/>
      <c r="J50" s="50"/>
    </row>
    <row r="51" spans="1:10">
      <c r="A51" s="5"/>
      <c r="B51" s="36">
        <v>18</v>
      </c>
      <c r="C51" s="37">
        <v>462.2</v>
      </c>
      <c r="E51" s="49"/>
      <c r="J51" s="50"/>
    </row>
    <row r="52" spans="1:10">
      <c r="A52" s="38" t="s">
        <v>26</v>
      </c>
      <c r="B52" s="39">
        <v>19</v>
      </c>
      <c r="C52" s="40">
        <v>554.70000000000005</v>
      </c>
      <c r="E52" s="49"/>
      <c r="J52" s="50"/>
    </row>
    <row r="53" spans="1:10">
      <c r="A53" s="38" t="s">
        <v>91</v>
      </c>
      <c r="B53" s="39">
        <v>20</v>
      </c>
      <c r="C53" s="40">
        <v>665.6</v>
      </c>
      <c r="E53" s="49"/>
      <c r="J53" s="50"/>
    </row>
    <row r="54" spans="1:10">
      <c r="A54" s="38" t="s">
        <v>92</v>
      </c>
      <c r="B54" s="39">
        <v>21</v>
      </c>
      <c r="C54" s="40">
        <v>798.7</v>
      </c>
    </row>
  </sheetData>
  <mergeCells count="1">
    <mergeCell ref="C5:D5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>
  <dimension ref="A2:N72"/>
  <sheetViews>
    <sheetView workbookViewId="0">
      <selection activeCell="C13" sqref="C13"/>
    </sheetView>
  </sheetViews>
  <sheetFormatPr defaultColWidth="11.5546875" defaultRowHeight="15"/>
  <cols>
    <col min="2" max="2" width="8.77734375" customWidth="1"/>
    <col min="3" max="3" width="9.44140625" customWidth="1"/>
    <col min="4" max="4" width="9.77734375" customWidth="1"/>
    <col min="5" max="5" width="9.44140625" customWidth="1"/>
    <col min="6" max="6" width="15.109375" customWidth="1"/>
    <col min="7" max="7" width="3" customWidth="1"/>
    <col min="13" max="13" width="8.33203125" customWidth="1"/>
  </cols>
  <sheetData>
    <row r="2" spans="1:14">
      <c r="A2" s="57" t="s">
        <v>60</v>
      </c>
      <c r="B2" s="57"/>
      <c r="C2" s="57"/>
      <c r="D2" s="57"/>
      <c r="E2" s="57"/>
      <c r="F2" s="57"/>
    </row>
    <row r="3" spans="1:14" ht="15.75" thickBot="1">
      <c r="A3" s="2" t="s">
        <v>5</v>
      </c>
      <c r="B3">
        <v>0.25</v>
      </c>
      <c r="D3" t="s">
        <v>11</v>
      </c>
      <c r="E3">
        <v>1.2</v>
      </c>
    </row>
    <row r="4" spans="1:14" ht="51" customHeight="1" thickBot="1">
      <c r="I4" s="54" t="s">
        <v>32</v>
      </c>
      <c r="J4" s="55"/>
      <c r="K4" s="55"/>
      <c r="L4" s="55"/>
      <c r="M4" s="55"/>
      <c r="N4" s="56"/>
    </row>
    <row r="5" spans="1:14" ht="63.75" thickBot="1">
      <c r="A5" t="s">
        <v>16</v>
      </c>
      <c r="B5">
        <v>30</v>
      </c>
      <c r="C5" t="s">
        <v>12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pans="1:14" ht="15.75" thickBot="1"/>
    <row r="7" spans="1:14" ht="17.25" thickBot="1">
      <c r="A7" s="22" t="s">
        <v>10</v>
      </c>
      <c r="B7" s="22" t="s">
        <v>6</v>
      </c>
      <c r="C7" s="22" t="s">
        <v>13</v>
      </c>
      <c r="D7" s="22" t="s">
        <v>14</v>
      </c>
      <c r="E7" s="22" t="s">
        <v>15</v>
      </c>
      <c r="F7" s="23" t="s">
        <v>59</v>
      </c>
      <c r="I7" s="9" t="s">
        <v>31</v>
      </c>
      <c r="J7" s="10">
        <v>30</v>
      </c>
      <c r="K7" s="10">
        <v>28.4</v>
      </c>
      <c r="L7" s="10">
        <v>3.7</v>
      </c>
      <c r="M7" s="10">
        <v>0.13</v>
      </c>
      <c r="N7" s="11">
        <v>32</v>
      </c>
    </row>
    <row r="8" spans="1:14" ht="17.25" thickBot="1">
      <c r="A8" s="33">
        <v>1</v>
      </c>
      <c r="B8" s="20">
        <f>B9/$E$3</f>
        <v>20.833333333333336</v>
      </c>
      <c r="C8" s="20">
        <f>0.5*(2*B8-E8)</f>
        <v>18.229166666666668</v>
      </c>
      <c r="D8" s="20">
        <f>0.5*(2*B8+E8)</f>
        <v>23.437500000000004</v>
      </c>
      <c r="E8" s="21">
        <f>B8*$B$3</f>
        <v>5.2083333333333339</v>
      </c>
      <c r="F8" s="18" t="s">
        <v>49</v>
      </c>
      <c r="I8" s="9" t="s">
        <v>31</v>
      </c>
      <c r="J8" s="10">
        <v>44</v>
      </c>
      <c r="K8" s="10">
        <v>44.05</v>
      </c>
      <c r="L8" s="10">
        <v>4.6500000000000004</v>
      </c>
      <c r="M8" s="10">
        <v>0.11</v>
      </c>
      <c r="N8" s="11">
        <v>29</v>
      </c>
    </row>
    <row r="9" spans="1:14" ht="17.25" thickBot="1">
      <c r="A9" s="20">
        <v>2</v>
      </c>
      <c r="B9" s="20">
        <f>B10/$E$3</f>
        <v>25</v>
      </c>
      <c r="C9" s="20">
        <f>0.5*(2*B9-E9)</f>
        <v>21.875</v>
      </c>
      <c r="D9" s="20">
        <f>0.5*(2*B9+E9)</f>
        <v>28.125</v>
      </c>
      <c r="E9" s="21">
        <f>B9*$B$3</f>
        <v>6.25</v>
      </c>
      <c r="F9" s="33" t="s">
        <v>46</v>
      </c>
      <c r="I9" s="9" t="s">
        <v>31</v>
      </c>
      <c r="J9" s="10">
        <v>70</v>
      </c>
      <c r="K9" s="10">
        <v>71.05</v>
      </c>
      <c r="L9" s="10">
        <v>9.35</v>
      </c>
      <c r="M9" s="10">
        <v>0.13</v>
      </c>
      <c r="N9" s="11">
        <v>13</v>
      </c>
    </row>
    <row r="10" spans="1:14" ht="17.25" thickBot="1">
      <c r="A10" s="20">
        <v>3</v>
      </c>
      <c r="B10" s="18">
        <f>$B$5</f>
        <v>30</v>
      </c>
      <c r="C10" s="20">
        <f>0.5*(2*B10-E10)</f>
        <v>26.25</v>
      </c>
      <c r="D10" s="20">
        <f>0.5*(2*B10+E10)</f>
        <v>33.75</v>
      </c>
      <c r="E10" s="18">
        <f>B10*$B$3</f>
        <v>7.5</v>
      </c>
      <c r="F10" s="18" t="s">
        <v>40</v>
      </c>
      <c r="I10" s="9" t="s">
        <v>31</v>
      </c>
      <c r="J10" s="10">
        <v>100</v>
      </c>
      <c r="K10" s="10">
        <v>100.86</v>
      </c>
      <c r="L10" s="10">
        <v>16.940000000000001</v>
      </c>
      <c r="M10" s="10">
        <v>0.17</v>
      </c>
      <c r="N10" s="11">
        <v>9.6</v>
      </c>
    </row>
    <row r="11" spans="1:14" ht="17.25" thickBot="1">
      <c r="A11" s="33">
        <v>4</v>
      </c>
      <c r="B11" s="20">
        <f>B10*$E$3</f>
        <v>36</v>
      </c>
      <c r="C11" s="20">
        <f>0.5*(2*B11-E11)</f>
        <v>31.5</v>
      </c>
      <c r="D11" s="20">
        <f>0.5*(2*B11+E11)</f>
        <v>40.5</v>
      </c>
      <c r="E11" s="21">
        <f>B11*$B$3</f>
        <v>9</v>
      </c>
      <c r="F11" s="18" t="s">
        <v>46</v>
      </c>
      <c r="I11" s="9" t="s">
        <v>31</v>
      </c>
      <c r="J11" s="10">
        <v>143</v>
      </c>
      <c r="K11" s="10">
        <v>143.57</v>
      </c>
      <c r="L11" s="10">
        <v>24.77</v>
      </c>
      <c r="M11" s="10">
        <v>0.17</v>
      </c>
      <c r="N11" s="11">
        <v>7</v>
      </c>
    </row>
    <row r="12" spans="1:14" ht="17.25" thickBot="1">
      <c r="A12" s="20">
        <v>5</v>
      </c>
      <c r="B12" s="20">
        <f t="shared" ref="B12:B28" si="0">B11*$E$3</f>
        <v>43.199999999999996</v>
      </c>
      <c r="C12" s="20">
        <f t="shared" ref="C12:C28" si="1">0.5*(2*B12-E12)</f>
        <v>37.799999999999997</v>
      </c>
      <c r="D12" s="20">
        <f t="shared" ref="D12:D28" si="2">0.5*(2*B12+E12)</f>
        <v>48.599999999999994</v>
      </c>
      <c r="E12" s="20">
        <f t="shared" ref="E12:E28" si="3">B12*$B$3</f>
        <v>10.799999999999999</v>
      </c>
      <c r="F12" s="18" t="s">
        <v>39</v>
      </c>
      <c r="I12" s="9" t="s">
        <v>31</v>
      </c>
      <c r="J12" s="10">
        <v>217</v>
      </c>
      <c r="K12" s="10">
        <v>221.16</v>
      </c>
      <c r="L12" s="10">
        <v>33.619999999999997</v>
      </c>
      <c r="M12" s="10">
        <v>0.15</v>
      </c>
      <c r="N12" s="11">
        <v>4.7</v>
      </c>
    </row>
    <row r="13" spans="1:14" ht="17.25" thickBot="1">
      <c r="A13" s="20">
        <v>6</v>
      </c>
      <c r="B13" s="20">
        <f t="shared" si="0"/>
        <v>51.839999999999996</v>
      </c>
      <c r="C13" s="20">
        <f t="shared" si="1"/>
        <v>45.36</v>
      </c>
      <c r="D13" s="20">
        <f t="shared" si="2"/>
        <v>58.319999999999993</v>
      </c>
      <c r="E13" s="20">
        <f t="shared" si="3"/>
        <v>12.959999999999999</v>
      </c>
      <c r="F13" s="18" t="s">
        <v>41</v>
      </c>
      <c r="I13" s="9" t="s">
        <v>31</v>
      </c>
      <c r="J13" s="10">
        <v>353</v>
      </c>
      <c r="K13" s="10">
        <v>357.91</v>
      </c>
      <c r="L13" s="10">
        <v>53.58</v>
      </c>
      <c r="M13" s="10">
        <v>0.15</v>
      </c>
      <c r="N13" s="11">
        <v>4.5</v>
      </c>
    </row>
    <row r="14" spans="1:14" ht="17.25" thickBot="1">
      <c r="A14" s="33">
        <v>7</v>
      </c>
      <c r="B14" s="20">
        <f t="shared" si="0"/>
        <v>62.207999999999991</v>
      </c>
      <c r="C14" s="20">
        <f t="shared" si="1"/>
        <v>54.431999999999995</v>
      </c>
      <c r="D14" s="20">
        <f t="shared" si="2"/>
        <v>69.983999999999995</v>
      </c>
      <c r="E14" s="20">
        <f t="shared" si="3"/>
        <v>15.551999999999998</v>
      </c>
      <c r="F14" s="18" t="s">
        <v>42</v>
      </c>
      <c r="I14" s="9" t="s">
        <v>31</v>
      </c>
      <c r="J14" s="10">
        <v>545</v>
      </c>
      <c r="K14" s="10">
        <v>548.17999999999995</v>
      </c>
      <c r="L14" s="10">
        <v>95.81</v>
      </c>
      <c r="M14" s="10">
        <v>0.17</v>
      </c>
      <c r="N14" s="11">
        <v>4</v>
      </c>
    </row>
    <row r="15" spans="1:14" ht="17.25" thickBot="1">
      <c r="A15" s="20">
        <v>8</v>
      </c>
      <c r="B15" s="20">
        <f t="shared" si="0"/>
        <v>74.649599999999992</v>
      </c>
      <c r="C15" s="20">
        <f t="shared" si="1"/>
        <v>65.318399999999997</v>
      </c>
      <c r="D15" s="20">
        <f t="shared" si="2"/>
        <v>83.980799999999988</v>
      </c>
      <c r="E15" s="20">
        <f t="shared" si="3"/>
        <v>18.662399999999998</v>
      </c>
      <c r="F15" s="18" t="s">
        <v>43</v>
      </c>
      <c r="I15" s="9" t="s">
        <v>31</v>
      </c>
      <c r="J15" s="10">
        <v>857</v>
      </c>
      <c r="K15" s="10">
        <v>867.42</v>
      </c>
      <c r="L15" s="10">
        <v>142</v>
      </c>
      <c r="M15" s="10">
        <v>0.16</v>
      </c>
      <c r="N15" s="11">
        <v>4.3</v>
      </c>
    </row>
    <row r="16" spans="1:14" ht="16.5" thickBot="1">
      <c r="A16" s="20">
        <v>9</v>
      </c>
      <c r="B16" s="20">
        <f t="shared" si="0"/>
        <v>89.579519999999988</v>
      </c>
      <c r="C16" s="20">
        <f t="shared" si="1"/>
        <v>78.382079999999988</v>
      </c>
      <c r="D16" s="20">
        <f t="shared" si="2"/>
        <v>100.77695999999999</v>
      </c>
      <c r="E16" s="20">
        <f t="shared" si="3"/>
        <v>22.394879999999997</v>
      </c>
      <c r="F16" s="18" t="s">
        <v>44</v>
      </c>
      <c r="I16" s="9" t="s">
        <v>27</v>
      </c>
      <c r="J16" s="10">
        <v>40</v>
      </c>
      <c r="K16" s="10">
        <v>40</v>
      </c>
      <c r="L16" s="10">
        <v>12</v>
      </c>
      <c r="M16" s="10">
        <v>0.3</v>
      </c>
      <c r="N16" s="10">
        <v>80</v>
      </c>
    </row>
    <row r="17" spans="1:14" ht="16.5" thickBot="1">
      <c r="A17" s="33">
        <v>10</v>
      </c>
      <c r="B17" s="20">
        <f t="shared" si="0"/>
        <v>107.49542399999999</v>
      </c>
      <c r="C17" s="20">
        <f t="shared" si="1"/>
        <v>94.058495999999991</v>
      </c>
      <c r="D17" s="20">
        <f t="shared" si="2"/>
        <v>120.93235199999998</v>
      </c>
      <c r="E17" s="20">
        <f t="shared" si="3"/>
        <v>26.873855999999996</v>
      </c>
      <c r="F17" s="18" t="s">
        <v>50</v>
      </c>
      <c r="I17" s="9" t="s">
        <v>27</v>
      </c>
      <c r="J17" s="10">
        <v>50</v>
      </c>
      <c r="K17" s="10">
        <v>50</v>
      </c>
      <c r="L17" s="10">
        <v>15</v>
      </c>
      <c r="M17" s="10">
        <v>0.3</v>
      </c>
      <c r="N17" s="10">
        <v>65</v>
      </c>
    </row>
    <row r="18" spans="1:14" ht="16.5" thickBot="1">
      <c r="A18" s="20">
        <v>11</v>
      </c>
      <c r="B18" s="20">
        <f t="shared" si="0"/>
        <v>128.99450879999998</v>
      </c>
      <c r="C18" s="20">
        <f t="shared" si="1"/>
        <v>112.87019519999998</v>
      </c>
      <c r="D18" s="20">
        <f t="shared" si="2"/>
        <v>145.11882239999997</v>
      </c>
      <c r="E18" s="20">
        <f t="shared" si="3"/>
        <v>32.248627199999994</v>
      </c>
      <c r="F18" s="18" t="s">
        <v>48</v>
      </c>
      <c r="I18" s="9" t="s">
        <v>27</v>
      </c>
      <c r="J18" s="10">
        <v>60</v>
      </c>
      <c r="K18" s="10">
        <v>60</v>
      </c>
      <c r="L18" s="10">
        <v>13.8</v>
      </c>
      <c r="M18" s="10">
        <v>0.23</v>
      </c>
      <c r="N18" s="10">
        <v>55</v>
      </c>
    </row>
    <row r="19" spans="1:14" ht="16.5" thickBot="1">
      <c r="A19" s="20">
        <v>12</v>
      </c>
      <c r="B19" s="20">
        <f t="shared" si="0"/>
        <v>154.79341055999996</v>
      </c>
      <c r="C19" s="20">
        <f t="shared" si="1"/>
        <v>135.44423423999996</v>
      </c>
      <c r="D19" s="20">
        <f t="shared" si="2"/>
        <v>174.14258687999995</v>
      </c>
      <c r="E19" s="20">
        <f t="shared" si="3"/>
        <v>38.698352639999989</v>
      </c>
      <c r="F19" s="18" t="s">
        <v>51</v>
      </c>
      <c r="I19" s="9" t="s">
        <v>27</v>
      </c>
      <c r="J19" s="10">
        <v>68</v>
      </c>
      <c r="K19" s="10">
        <v>68</v>
      </c>
      <c r="L19" s="10">
        <v>15.64</v>
      </c>
      <c r="M19" s="10">
        <v>0.23</v>
      </c>
      <c r="N19" s="10">
        <v>49</v>
      </c>
    </row>
    <row r="20" spans="1:14" ht="16.5" thickBot="1">
      <c r="A20" s="33">
        <v>13</v>
      </c>
      <c r="B20" s="20">
        <f t="shared" si="0"/>
        <v>185.75209267199995</v>
      </c>
      <c r="C20" s="20">
        <f t="shared" si="1"/>
        <v>162.53308108799996</v>
      </c>
      <c r="D20" s="20">
        <f t="shared" si="2"/>
        <v>208.97110425599993</v>
      </c>
      <c r="E20" s="20">
        <f t="shared" si="3"/>
        <v>46.438023167999987</v>
      </c>
      <c r="F20" s="18" t="s">
        <v>52</v>
      </c>
      <c r="I20" s="9" t="s">
        <v>27</v>
      </c>
      <c r="J20" s="10">
        <v>78</v>
      </c>
      <c r="K20" s="10">
        <v>78</v>
      </c>
      <c r="L20" s="10">
        <v>17.940000000000001</v>
      </c>
      <c r="M20" s="10">
        <v>0.23</v>
      </c>
      <c r="N20" s="10">
        <v>44</v>
      </c>
    </row>
    <row r="21" spans="1:14" ht="16.5" thickBot="1">
      <c r="A21" s="20">
        <v>14</v>
      </c>
      <c r="B21" s="20">
        <f t="shared" si="0"/>
        <v>222.90251120639994</v>
      </c>
      <c r="C21" s="20">
        <f t="shared" si="1"/>
        <v>195.03969730559993</v>
      </c>
      <c r="D21" s="20">
        <f t="shared" si="2"/>
        <v>250.76532510719994</v>
      </c>
      <c r="E21" s="20">
        <f t="shared" si="3"/>
        <v>55.725627801599984</v>
      </c>
      <c r="F21" s="18" t="s">
        <v>45</v>
      </c>
      <c r="I21" s="9" t="s">
        <v>27</v>
      </c>
      <c r="J21" s="10">
        <v>89</v>
      </c>
      <c r="K21" s="10">
        <v>89</v>
      </c>
      <c r="L21" s="10">
        <v>20.47</v>
      </c>
      <c r="M21" s="10">
        <v>0.23</v>
      </c>
      <c r="N21" s="10">
        <v>40</v>
      </c>
    </row>
    <row r="22" spans="1:14" ht="16.5" thickBot="1">
      <c r="A22" s="20">
        <v>15</v>
      </c>
      <c r="B22" s="20">
        <f t="shared" si="0"/>
        <v>267.48301344767992</v>
      </c>
      <c r="C22" s="20">
        <f t="shared" si="1"/>
        <v>234.04763676671993</v>
      </c>
      <c r="D22" s="20">
        <f t="shared" si="2"/>
        <v>300.91839012863989</v>
      </c>
      <c r="E22" s="20">
        <f t="shared" si="3"/>
        <v>66.870753361919981</v>
      </c>
      <c r="F22" s="18" t="s">
        <v>53</v>
      </c>
      <c r="I22" s="9" t="s">
        <v>27</v>
      </c>
      <c r="J22" s="10">
        <v>100</v>
      </c>
      <c r="K22" s="10">
        <v>100</v>
      </c>
      <c r="L22" s="10">
        <v>23</v>
      </c>
      <c r="M22" s="10">
        <v>0.23</v>
      </c>
      <c r="N22" s="10">
        <v>34</v>
      </c>
    </row>
    <row r="23" spans="1:14" ht="16.5" thickBot="1">
      <c r="A23" s="33">
        <v>16</v>
      </c>
      <c r="B23" s="20">
        <f t="shared" si="0"/>
        <v>320.97961613721588</v>
      </c>
      <c r="C23" s="20">
        <f t="shared" si="1"/>
        <v>280.85716412006389</v>
      </c>
      <c r="D23" s="20">
        <f t="shared" si="2"/>
        <v>361.10206815436788</v>
      </c>
      <c r="E23" s="20">
        <f t="shared" si="3"/>
        <v>80.244904034303971</v>
      </c>
      <c r="F23" s="18" t="s">
        <v>54</v>
      </c>
      <c r="I23" s="9" t="s">
        <v>27</v>
      </c>
      <c r="J23" s="10">
        <v>119</v>
      </c>
      <c r="K23" s="10">
        <v>119</v>
      </c>
      <c r="L23" s="10">
        <v>35.700000000000003</v>
      </c>
      <c r="M23" s="10">
        <v>0.3</v>
      </c>
      <c r="N23" s="10">
        <v>29</v>
      </c>
    </row>
    <row r="24" spans="1:14" ht="16.5" thickBot="1">
      <c r="A24" s="20">
        <v>17</v>
      </c>
      <c r="B24" s="20">
        <f t="shared" si="0"/>
        <v>385.17553936465907</v>
      </c>
      <c r="C24" s="20">
        <f t="shared" si="1"/>
        <v>337.0285969440767</v>
      </c>
      <c r="D24" s="20">
        <f t="shared" si="2"/>
        <v>433.32248178524145</v>
      </c>
      <c r="E24" s="20">
        <f t="shared" si="3"/>
        <v>96.293884841164768</v>
      </c>
      <c r="F24" s="18" t="s">
        <v>47</v>
      </c>
      <c r="I24" s="9" t="s">
        <v>27</v>
      </c>
      <c r="J24" s="10">
        <v>140</v>
      </c>
      <c r="K24" s="10">
        <v>140</v>
      </c>
      <c r="L24" s="10">
        <v>42</v>
      </c>
      <c r="M24" s="10">
        <v>0.3</v>
      </c>
      <c r="N24" s="10">
        <v>25</v>
      </c>
    </row>
    <row r="25" spans="1:14" ht="16.5" thickBot="1">
      <c r="A25" s="20">
        <v>18</v>
      </c>
      <c r="B25" s="20">
        <f t="shared" si="0"/>
        <v>462.21064723759088</v>
      </c>
      <c r="C25" s="20">
        <f t="shared" si="1"/>
        <v>404.43431633289202</v>
      </c>
      <c r="D25" s="20">
        <f t="shared" si="2"/>
        <v>519.98697814228979</v>
      </c>
      <c r="E25" s="20">
        <f t="shared" si="3"/>
        <v>115.55266180939772</v>
      </c>
      <c r="F25" s="18" t="s">
        <v>55</v>
      </c>
      <c r="I25" s="9" t="s">
        <v>27</v>
      </c>
      <c r="J25" s="10">
        <v>166</v>
      </c>
      <c r="K25" s="10">
        <v>166</v>
      </c>
      <c r="L25" s="10">
        <v>49.8</v>
      </c>
      <c r="M25" s="10">
        <v>0.3</v>
      </c>
      <c r="N25" s="10">
        <v>23</v>
      </c>
    </row>
    <row r="26" spans="1:14" ht="16.5" thickBot="1">
      <c r="A26" s="33">
        <v>19</v>
      </c>
      <c r="B26" s="20">
        <f t="shared" si="0"/>
        <v>554.65277668510907</v>
      </c>
      <c r="C26" s="20">
        <f t="shared" si="1"/>
        <v>485.32117959947044</v>
      </c>
      <c r="D26" s="20">
        <f t="shared" si="2"/>
        <v>623.98437377074765</v>
      </c>
      <c r="E26" s="20">
        <f t="shared" si="3"/>
        <v>138.66319417127727</v>
      </c>
      <c r="F26" s="18" t="s">
        <v>56</v>
      </c>
      <c r="I26" s="9" t="s">
        <v>27</v>
      </c>
      <c r="J26" s="10">
        <v>195</v>
      </c>
      <c r="K26" s="10">
        <v>195</v>
      </c>
      <c r="L26" s="10">
        <v>58.5</v>
      </c>
      <c r="M26" s="10">
        <v>0.3</v>
      </c>
      <c r="N26" s="10">
        <v>21</v>
      </c>
    </row>
    <row r="27" spans="1:14" ht="16.5" thickBot="1">
      <c r="A27" s="20">
        <v>20</v>
      </c>
      <c r="B27" s="20">
        <f t="shared" si="0"/>
        <v>665.58333202213089</v>
      </c>
      <c r="C27" s="20">
        <f t="shared" si="1"/>
        <v>582.38541551936453</v>
      </c>
      <c r="D27" s="20">
        <f t="shared" si="2"/>
        <v>748.78124852489725</v>
      </c>
      <c r="E27" s="20">
        <f t="shared" si="3"/>
        <v>166.39583300553272</v>
      </c>
      <c r="F27" s="18" t="s">
        <v>57</v>
      </c>
      <c r="I27" s="9" t="s">
        <v>27</v>
      </c>
      <c r="J27" s="10">
        <v>235</v>
      </c>
      <c r="K27" s="10">
        <v>235</v>
      </c>
      <c r="L27" s="10">
        <v>70.5</v>
      </c>
      <c r="M27" s="10">
        <v>0.3</v>
      </c>
      <c r="N27" s="10">
        <v>20</v>
      </c>
    </row>
    <row r="28" spans="1:14" ht="16.5" thickBot="1">
      <c r="A28" s="20">
        <v>21</v>
      </c>
      <c r="B28" s="20">
        <f t="shared" si="0"/>
        <v>798.69999842655704</v>
      </c>
      <c r="C28" s="20">
        <f t="shared" si="1"/>
        <v>698.86249862323746</v>
      </c>
      <c r="D28" s="20">
        <f t="shared" si="2"/>
        <v>898.53749822987663</v>
      </c>
      <c r="E28" s="20">
        <f t="shared" si="3"/>
        <v>199.67499960663926</v>
      </c>
      <c r="F28" s="18" t="s">
        <v>58</v>
      </c>
      <c r="I28" s="9" t="s">
        <v>27</v>
      </c>
      <c r="J28" s="10">
        <v>280</v>
      </c>
      <c r="K28" s="10">
        <v>280</v>
      </c>
      <c r="L28" s="10">
        <v>84</v>
      </c>
      <c r="M28" s="10">
        <v>0.3</v>
      </c>
      <c r="N28" s="10">
        <v>37</v>
      </c>
    </row>
    <row r="29" spans="1:14" ht="16.5" thickBot="1">
      <c r="I29" s="9" t="s">
        <v>27</v>
      </c>
      <c r="J29" s="10">
        <v>337</v>
      </c>
      <c r="K29" s="10">
        <v>337</v>
      </c>
      <c r="L29" s="10">
        <v>101.1</v>
      </c>
      <c r="M29" s="10">
        <v>0.3</v>
      </c>
      <c r="N29" s="10">
        <v>31</v>
      </c>
    </row>
    <row r="30" spans="1:14" ht="16.5" thickBot="1">
      <c r="I30" s="9" t="s">
        <v>27</v>
      </c>
      <c r="J30" s="10">
        <v>402</v>
      </c>
      <c r="K30" s="10">
        <v>402</v>
      </c>
      <c r="L30" s="10">
        <v>120.6</v>
      </c>
      <c r="M30" s="10">
        <v>0.3</v>
      </c>
      <c r="N30" s="10">
        <v>26</v>
      </c>
    </row>
    <row r="31" spans="1:14" ht="17.25" thickBot="1">
      <c r="I31" s="9" t="s">
        <v>28</v>
      </c>
      <c r="J31" s="10">
        <v>60</v>
      </c>
      <c r="K31" s="10">
        <v>60</v>
      </c>
      <c r="L31" s="10">
        <v>18</v>
      </c>
      <c r="M31" s="10">
        <v>0.3</v>
      </c>
      <c r="N31" s="11">
        <v>17.87</v>
      </c>
    </row>
    <row r="32" spans="1:14" ht="17.25" thickBot="1">
      <c r="I32" s="9" t="s">
        <v>28</v>
      </c>
      <c r="J32" s="10">
        <v>70</v>
      </c>
      <c r="K32" s="10">
        <v>70</v>
      </c>
      <c r="L32" s="10">
        <v>21</v>
      </c>
      <c r="M32" s="10">
        <v>0.3</v>
      </c>
      <c r="N32" s="11">
        <v>15.39</v>
      </c>
    </row>
    <row r="33" spans="9:14" ht="17.25" thickBot="1">
      <c r="I33" s="9" t="s">
        <v>28</v>
      </c>
      <c r="J33" s="10">
        <v>80</v>
      </c>
      <c r="K33" s="10">
        <v>80</v>
      </c>
      <c r="L33" s="10">
        <v>24</v>
      </c>
      <c r="M33" s="10">
        <v>0.3</v>
      </c>
      <c r="N33" s="11">
        <v>13.52</v>
      </c>
    </row>
    <row r="34" spans="9:14" ht="17.25" thickBot="1">
      <c r="I34" s="9" t="s">
        <v>28</v>
      </c>
      <c r="J34" s="10">
        <v>90</v>
      </c>
      <c r="K34" s="10">
        <v>90</v>
      </c>
      <c r="L34" s="10">
        <v>27</v>
      </c>
      <c r="M34" s="10">
        <v>0.3</v>
      </c>
      <c r="N34" s="11">
        <v>12.08</v>
      </c>
    </row>
    <row r="35" spans="9:14" ht="17.25" thickBot="1">
      <c r="I35" s="9" t="s">
        <v>28</v>
      </c>
      <c r="J35" s="10">
        <v>100</v>
      </c>
      <c r="K35" s="10">
        <v>100</v>
      </c>
      <c r="L35" s="10">
        <v>30</v>
      </c>
      <c r="M35" s="10">
        <v>0.3</v>
      </c>
      <c r="N35" s="11">
        <v>10.92</v>
      </c>
    </row>
    <row r="36" spans="9:14" ht="17.25" thickBot="1">
      <c r="I36" s="9" t="s">
        <v>28</v>
      </c>
      <c r="J36" s="10">
        <v>115</v>
      </c>
      <c r="K36" s="10">
        <v>115</v>
      </c>
      <c r="L36" s="10">
        <v>34.5</v>
      </c>
      <c r="M36" s="10">
        <v>0.3</v>
      </c>
      <c r="N36" s="11">
        <v>9.56</v>
      </c>
    </row>
    <row r="37" spans="9:14" ht="17.25" thickBot="1">
      <c r="I37" s="9" t="s">
        <v>28</v>
      </c>
      <c r="J37" s="10">
        <v>130</v>
      </c>
      <c r="K37" s="10">
        <v>130</v>
      </c>
      <c r="L37" s="10">
        <v>39</v>
      </c>
      <c r="M37" s="10">
        <v>0.3</v>
      </c>
      <c r="N37" s="11">
        <v>8.51</v>
      </c>
    </row>
    <row r="38" spans="9:14" ht="17.25" thickBot="1">
      <c r="I38" s="9" t="s">
        <v>28</v>
      </c>
      <c r="J38" s="10">
        <v>145</v>
      </c>
      <c r="K38" s="10">
        <v>145</v>
      </c>
      <c r="L38" s="10">
        <v>43.5</v>
      </c>
      <c r="M38" s="10">
        <v>0.3</v>
      </c>
      <c r="N38" s="11">
        <v>7.68</v>
      </c>
    </row>
    <row r="39" spans="9:14" ht="17.25" thickBot="1">
      <c r="I39" s="9" t="s">
        <v>28</v>
      </c>
      <c r="J39" s="10">
        <v>160</v>
      </c>
      <c r="K39" s="10">
        <v>160</v>
      </c>
      <c r="L39" s="10">
        <v>48</v>
      </c>
      <c r="M39" s="10">
        <v>0.3</v>
      </c>
      <c r="N39" s="11">
        <v>7.01</v>
      </c>
    </row>
    <row r="40" spans="9:14" ht="17.25" thickBot="1">
      <c r="I40" s="9" t="s">
        <v>28</v>
      </c>
      <c r="J40" s="10">
        <v>175</v>
      </c>
      <c r="K40" s="10">
        <v>175</v>
      </c>
      <c r="L40" s="10">
        <v>52.5</v>
      </c>
      <c r="M40" s="10">
        <v>0.3</v>
      </c>
      <c r="N40" s="11">
        <v>6.45</v>
      </c>
    </row>
    <row r="41" spans="9:14" ht="17.25" thickBot="1">
      <c r="I41" s="9" t="s">
        <v>28</v>
      </c>
      <c r="J41" s="10">
        <v>195</v>
      </c>
      <c r="K41" s="10">
        <v>195</v>
      </c>
      <c r="L41" s="10">
        <v>58.5</v>
      </c>
      <c r="M41" s="10">
        <v>0.3</v>
      </c>
      <c r="N41" s="11">
        <v>5.84</v>
      </c>
    </row>
    <row r="42" spans="9:14" ht="17.25" thickBot="1">
      <c r="I42" s="9" t="s">
        <v>28</v>
      </c>
      <c r="J42" s="10">
        <v>220</v>
      </c>
      <c r="K42" s="10">
        <v>220</v>
      </c>
      <c r="L42" s="10">
        <v>66</v>
      </c>
      <c r="M42" s="10">
        <v>0.3</v>
      </c>
      <c r="N42" s="11">
        <v>5.23</v>
      </c>
    </row>
    <row r="43" spans="9:14" ht="17.25" thickBot="1">
      <c r="I43" s="9" t="s">
        <v>28</v>
      </c>
      <c r="J43" s="10">
        <v>255</v>
      </c>
      <c r="K43" s="10">
        <v>255</v>
      </c>
      <c r="L43" s="10">
        <v>76.5</v>
      </c>
      <c r="M43" s="10">
        <v>0.3</v>
      </c>
      <c r="N43" s="11">
        <v>4.57</v>
      </c>
    </row>
    <row r="44" spans="9:14" ht="17.25" thickBot="1">
      <c r="I44" s="9" t="s">
        <v>28</v>
      </c>
      <c r="J44" s="10">
        <v>295</v>
      </c>
      <c r="K44" s="10">
        <v>295</v>
      </c>
      <c r="L44" s="10">
        <v>88.5</v>
      </c>
      <c r="M44" s="10">
        <v>0.3</v>
      </c>
      <c r="N44" s="11">
        <v>3.99</v>
      </c>
    </row>
    <row r="45" spans="9:14" ht="17.25" thickBot="1">
      <c r="I45" s="9" t="s">
        <v>28</v>
      </c>
      <c r="J45" s="10">
        <v>340</v>
      </c>
      <c r="K45" s="10">
        <v>340</v>
      </c>
      <c r="L45" s="10">
        <v>102</v>
      </c>
      <c r="M45" s="10">
        <v>0.3</v>
      </c>
      <c r="N45" s="11">
        <v>3.49</v>
      </c>
    </row>
    <row r="46" spans="9:14" ht="17.25" thickBot="1">
      <c r="I46" s="9" t="s">
        <v>28</v>
      </c>
      <c r="J46" s="10">
        <v>390</v>
      </c>
      <c r="K46" s="10">
        <v>390</v>
      </c>
      <c r="L46" s="10">
        <v>117</v>
      </c>
      <c r="M46" s="10">
        <v>0.3</v>
      </c>
      <c r="N46" s="11">
        <v>3.06</v>
      </c>
    </row>
    <row r="47" spans="9:14" ht="17.25" thickBot="1">
      <c r="I47" s="9" t="s">
        <v>28</v>
      </c>
      <c r="J47" s="10">
        <v>450</v>
      </c>
      <c r="K47" s="10">
        <v>450</v>
      </c>
      <c r="L47" s="10">
        <v>135</v>
      </c>
      <c r="M47" s="10">
        <v>0.3</v>
      </c>
      <c r="N47" s="11">
        <v>2.65</v>
      </c>
    </row>
    <row r="48" spans="9:14" ht="17.25" thickBot="1">
      <c r="I48" s="9" t="s">
        <v>28</v>
      </c>
      <c r="J48" s="10">
        <v>520</v>
      </c>
      <c r="K48" s="10">
        <v>520</v>
      </c>
      <c r="L48" s="10">
        <v>156</v>
      </c>
      <c r="M48" s="10">
        <v>0.3</v>
      </c>
      <c r="N48" s="11">
        <v>2.29</v>
      </c>
    </row>
    <row r="49" spans="9:14" ht="17.25" thickBot="1">
      <c r="I49" s="9" t="s">
        <v>28</v>
      </c>
      <c r="J49" s="10">
        <v>600</v>
      </c>
      <c r="K49" s="10">
        <v>600</v>
      </c>
      <c r="L49" s="10">
        <v>180</v>
      </c>
      <c r="M49" s="10">
        <v>0.3</v>
      </c>
      <c r="N49" s="11">
        <v>1.98</v>
      </c>
    </row>
    <row r="50" spans="9:14" ht="17.25" thickBot="1">
      <c r="I50" s="9" t="s">
        <v>29</v>
      </c>
      <c r="J50" s="10">
        <v>10</v>
      </c>
      <c r="K50" s="10">
        <v>10</v>
      </c>
      <c r="L50" s="10">
        <v>3.3</v>
      </c>
      <c r="M50" s="10">
        <v>0.33</v>
      </c>
      <c r="N50" s="12"/>
    </row>
    <row r="51" spans="9:14" ht="17.25" thickBot="1">
      <c r="I51" s="9" t="s">
        <v>29</v>
      </c>
      <c r="J51" s="10">
        <v>15</v>
      </c>
      <c r="K51" s="10">
        <v>15</v>
      </c>
      <c r="L51" s="10">
        <v>3.75</v>
      </c>
      <c r="M51" s="10">
        <v>0.25</v>
      </c>
      <c r="N51" s="12"/>
    </row>
    <row r="52" spans="9:14" ht="17.25" thickBot="1">
      <c r="I52" s="9" t="s">
        <v>29</v>
      </c>
      <c r="J52" s="13">
        <v>20</v>
      </c>
      <c r="K52" s="10">
        <v>20</v>
      </c>
      <c r="L52" s="10">
        <v>6</v>
      </c>
      <c r="M52" s="10">
        <v>0.3</v>
      </c>
      <c r="N52" s="12"/>
    </row>
    <row r="53" spans="9:14" ht="17.25" thickBot="1">
      <c r="I53" s="9" t="s">
        <v>29</v>
      </c>
      <c r="J53" s="13">
        <v>30</v>
      </c>
      <c r="K53" s="10">
        <v>30</v>
      </c>
      <c r="L53" s="10">
        <v>9</v>
      </c>
      <c r="M53" s="10">
        <v>0.3</v>
      </c>
      <c r="N53" s="12"/>
    </row>
    <row r="54" spans="9:14" ht="17.25" thickBot="1">
      <c r="I54" s="9" t="s">
        <v>29</v>
      </c>
      <c r="J54" s="13">
        <v>40</v>
      </c>
      <c r="K54" s="10">
        <v>40</v>
      </c>
      <c r="L54" s="10">
        <v>12</v>
      </c>
      <c r="M54" s="10">
        <v>0.3</v>
      </c>
      <c r="N54" s="12"/>
    </row>
    <row r="55" spans="9:14" ht="17.25" thickBot="1">
      <c r="I55" s="9" t="s">
        <v>29</v>
      </c>
      <c r="J55" s="13">
        <v>85</v>
      </c>
      <c r="K55" s="10">
        <v>85</v>
      </c>
      <c r="L55" s="10">
        <v>20.399999999999999</v>
      </c>
      <c r="M55" s="10">
        <v>0.24</v>
      </c>
      <c r="N55" s="12"/>
    </row>
    <row r="56" spans="9:14" ht="17.25" thickBot="1">
      <c r="I56" s="9" t="s">
        <v>29</v>
      </c>
      <c r="J56" s="13">
        <v>90</v>
      </c>
      <c r="K56" s="10">
        <v>90</v>
      </c>
      <c r="L56" s="10">
        <v>21.6</v>
      </c>
      <c r="M56" s="10">
        <v>0.24</v>
      </c>
      <c r="N56" s="12"/>
    </row>
    <row r="57" spans="9:14" ht="17.25" thickBot="1">
      <c r="I57" s="9" t="s">
        <v>29</v>
      </c>
      <c r="J57" s="13">
        <v>95</v>
      </c>
      <c r="K57" s="10">
        <v>95</v>
      </c>
      <c r="L57" s="10">
        <v>22.8</v>
      </c>
      <c r="M57" s="10">
        <v>0.24</v>
      </c>
      <c r="N57" s="12"/>
    </row>
    <row r="58" spans="9:14" ht="17.25" thickBot="1">
      <c r="I58" s="9" t="s">
        <v>29</v>
      </c>
      <c r="J58" s="13">
        <v>145</v>
      </c>
      <c r="K58" s="10">
        <v>145</v>
      </c>
      <c r="L58" s="10">
        <v>31.9</v>
      </c>
      <c r="M58" s="10">
        <v>0.22</v>
      </c>
      <c r="N58" s="12"/>
    </row>
    <row r="59" spans="9:14" ht="17.25" thickBot="1">
      <c r="I59" s="9" t="s">
        <v>29</v>
      </c>
      <c r="J59" s="13">
        <v>150</v>
      </c>
      <c r="K59" s="10">
        <v>150</v>
      </c>
      <c r="L59" s="10">
        <v>33</v>
      </c>
      <c r="M59" s="10">
        <v>0.22</v>
      </c>
      <c r="N59" s="12"/>
    </row>
    <row r="60" spans="9:14" ht="17.25" thickBot="1">
      <c r="I60" s="9" t="s">
        <v>29</v>
      </c>
      <c r="J60" s="13">
        <v>155</v>
      </c>
      <c r="K60" s="10">
        <v>155</v>
      </c>
      <c r="L60" s="10">
        <v>34.1</v>
      </c>
      <c r="M60" s="10">
        <v>0.22</v>
      </c>
      <c r="N60" s="12"/>
    </row>
    <row r="61" spans="9:14" ht="17.25" thickBot="1">
      <c r="I61" s="9" t="s">
        <v>29</v>
      </c>
      <c r="J61" s="13">
        <v>215</v>
      </c>
      <c r="K61" s="10">
        <v>215</v>
      </c>
      <c r="L61" s="10">
        <v>47.3</v>
      </c>
      <c r="M61" s="10">
        <v>0.22</v>
      </c>
      <c r="N61" s="12"/>
    </row>
    <row r="62" spans="9:14" ht="17.25" thickBot="1">
      <c r="I62" s="9" t="s">
        <v>29</v>
      </c>
      <c r="J62" s="13">
        <v>220</v>
      </c>
      <c r="K62" s="10">
        <v>220</v>
      </c>
      <c r="L62" s="10">
        <v>48.4</v>
      </c>
      <c r="M62" s="10">
        <v>0.22</v>
      </c>
      <c r="N62" s="12"/>
    </row>
    <row r="63" spans="9:14" ht="17.25" thickBot="1">
      <c r="I63" s="9" t="s">
        <v>29</v>
      </c>
      <c r="J63" s="13">
        <v>245</v>
      </c>
      <c r="K63" s="10">
        <v>245</v>
      </c>
      <c r="L63" s="10">
        <v>53.9</v>
      </c>
      <c r="M63" s="10">
        <v>0.22</v>
      </c>
      <c r="N63" s="12"/>
    </row>
    <row r="64" spans="9:14" ht="17.25" thickBot="1">
      <c r="I64" s="9" t="s">
        <v>29</v>
      </c>
      <c r="J64" s="13">
        <v>270</v>
      </c>
      <c r="K64" s="10">
        <v>270</v>
      </c>
      <c r="L64" s="10">
        <v>59.4</v>
      </c>
      <c r="M64" s="10">
        <v>0.22</v>
      </c>
      <c r="N64" s="12"/>
    </row>
    <row r="65" spans="9:14" ht="17.25" thickBot="1">
      <c r="I65" s="9" t="s">
        <v>30</v>
      </c>
      <c r="J65" s="10">
        <v>95</v>
      </c>
      <c r="K65" s="10">
        <v>95</v>
      </c>
      <c r="L65" s="10">
        <v>39</v>
      </c>
      <c r="M65" s="10">
        <v>0.41</v>
      </c>
      <c r="N65" s="12"/>
    </row>
    <row r="66" spans="9:14" ht="17.25" thickBot="1">
      <c r="I66" s="9" t="s">
        <v>30</v>
      </c>
      <c r="J66" s="10">
        <v>150</v>
      </c>
      <c r="K66" s="10">
        <v>150</v>
      </c>
      <c r="L66" s="10">
        <v>44</v>
      </c>
      <c r="M66" s="10">
        <v>0.28999999999999998</v>
      </c>
      <c r="N66" s="12"/>
    </row>
    <row r="67" spans="9:14" ht="17.25" thickBot="1">
      <c r="I67" s="9" t="s">
        <v>30</v>
      </c>
      <c r="J67" s="10">
        <v>214</v>
      </c>
      <c r="K67" s="10">
        <v>214</v>
      </c>
      <c r="L67" s="10">
        <v>61</v>
      </c>
      <c r="M67" s="10">
        <v>0.28999999999999998</v>
      </c>
      <c r="N67" s="12"/>
    </row>
    <row r="68" spans="9:14" ht="17.25" thickBot="1">
      <c r="I68" s="9" t="s">
        <v>30</v>
      </c>
      <c r="J68" s="10">
        <v>286</v>
      </c>
      <c r="K68" s="10">
        <v>286</v>
      </c>
      <c r="L68" s="10">
        <v>82</v>
      </c>
      <c r="M68" s="10">
        <v>0.28999999999999998</v>
      </c>
      <c r="N68" s="12"/>
    </row>
    <row r="69" spans="9:14" ht="17.25" thickBot="1">
      <c r="I69" s="9" t="s">
        <v>30</v>
      </c>
      <c r="J69" s="10">
        <v>350</v>
      </c>
      <c r="K69" s="10">
        <v>350</v>
      </c>
      <c r="L69" s="10">
        <v>33</v>
      </c>
      <c r="M69" s="10">
        <v>0.09</v>
      </c>
      <c r="N69" s="12"/>
    </row>
    <row r="70" spans="9:14" ht="17.25" thickBot="1">
      <c r="I70" s="9" t="s">
        <v>30</v>
      </c>
      <c r="J70" s="10">
        <v>405</v>
      </c>
      <c r="K70" s="10">
        <v>405</v>
      </c>
      <c r="L70" s="10">
        <v>27</v>
      </c>
      <c r="M70" s="10">
        <v>7.0000000000000007E-2</v>
      </c>
      <c r="N70" s="12"/>
    </row>
    <row r="71" spans="9:14" ht="17.25" thickBot="1">
      <c r="I71" s="9" t="s">
        <v>30</v>
      </c>
      <c r="J71" s="10">
        <v>669</v>
      </c>
      <c r="K71" s="10">
        <v>669</v>
      </c>
      <c r="L71" s="10">
        <v>71</v>
      </c>
      <c r="M71" s="10">
        <v>0.11</v>
      </c>
      <c r="N71" s="12"/>
    </row>
    <row r="72" spans="9:14" ht="17.25" thickBot="1">
      <c r="I72" s="9" t="s">
        <v>30</v>
      </c>
      <c r="J72" s="10">
        <v>862</v>
      </c>
      <c r="K72" s="10">
        <v>862</v>
      </c>
      <c r="L72" s="10">
        <v>97</v>
      </c>
      <c r="M72" s="10">
        <v>0.11</v>
      </c>
      <c r="N72" s="12"/>
    </row>
  </sheetData>
  <mergeCells count="2">
    <mergeCell ref="I4:N4"/>
    <mergeCell ref="A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2:G64"/>
  <sheetViews>
    <sheetView workbookViewId="0">
      <selection activeCell="B22" sqref="B22"/>
    </sheetView>
  </sheetViews>
  <sheetFormatPr defaultColWidth="11.5546875" defaultRowHeight="15"/>
  <cols>
    <col min="9" max="9" width="2" customWidth="1"/>
    <col min="11" max="11" width="11.10937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AC39"/>
  <sheetViews>
    <sheetView topLeftCell="K1" zoomScale="80" zoomScaleNormal="80" zoomScalePageLayoutView="80" workbookViewId="0">
      <selection activeCell="Z28" sqref="Z28"/>
    </sheetView>
  </sheetViews>
  <sheetFormatPr defaultColWidth="11.5546875" defaultRowHeight="15"/>
  <cols>
    <col min="7" max="7" width="0.77734375" customWidth="1"/>
    <col min="14" max="14" width="1.109375" customWidth="1"/>
    <col min="17" max="17" width="11.77734375" bestFit="1" customWidth="1"/>
    <col min="21" max="21" width="1.44140625" customWidth="1"/>
    <col min="25" max="25" width="17.6640625" customWidth="1"/>
  </cols>
  <sheetData>
    <row r="1" spans="1:29">
      <c r="A1" s="58" t="s">
        <v>83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24"/>
      <c r="O1" s="58" t="s">
        <v>81</v>
      </c>
      <c r="P1" s="58"/>
      <c r="Q1" s="58"/>
      <c r="R1" s="58"/>
      <c r="S1" s="58"/>
      <c r="T1" s="58"/>
      <c r="U1" s="28"/>
      <c r="V1" s="58" t="s">
        <v>107</v>
      </c>
      <c r="W1" s="58"/>
      <c r="X1" s="58"/>
      <c r="Y1" s="28"/>
      <c r="Z1" s="28"/>
      <c r="AA1" s="28" t="s">
        <v>106</v>
      </c>
    </row>
    <row r="2" spans="1:29">
      <c r="A2" s="58" t="s">
        <v>79</v>
      </c>
      <c r="B2" s="58"/>
      <c r="C2" s="58"/>
      <c r="D2" s="58"/>
      <c r="E2" s="58"/>
      <c r="F2" s="2"/>
      <c r="H2" s="58" t="s">
        <v>80</v>
      </c>
      <c r="I2" s="58"/>
      <c r="J2" s="58"/>
      <c r="K2" s="58"/>
      <c r="L2" s="58"/>
      <c r="M2" s="58"/>
      <c r="O2" s="58" t="s">
        <v>80</v>
      </c>
      <c r="P2" s="58"/>
      <c r="Q2" s="58"/>
      <c r="R2" s="58"/>
      <c r="S2" s="58"/>
      <c r="T2" s="58"/>
    </row>
    <row r="3" spans="1:29">
      <c r="A3" t="s">
        <v>6</v>
      </c>
      <c r="B3" t="s">
        <v>61</v>
      </c>
      <c r="C3" t="s">
        <v>62</v>
      </c>
      <c r="D3" s="59" t="s">
        <v>63</v>
      </c>
      <c r="E3" s="59"/>
      <c r="F3" s="2" t="s">
        <v>82</v>
      </c>
      <c r="H3" t="s">
        <v>6</v>
      </c>
      <c r="I3" t="s">
        <v>61</v>
      </c>
      <c r="J3" t="s">
        <v>62</v>
      </c>
      <c r="K3" s="59" t="s">
        <v>63</v>
      </c>
      <c r="L3" s="59"/>
      <c r="M3" t="s">
        <v>82</v>
      </c>
      <c r="O3" t="s">
        <v>6</v>
      </c>
      <c r="P3" t="s">
        <v>61</v>
      </c>
      <c r="Q3" t="s">
        <v>62</v>
      </c>
      <c r="R3" s="59" t="s">
        <v>63</v>
      </c>
      <c r="S3" s="59"/>
      <c r="T3" t="s">
        <v>82</v>
      </c>
      <c r="V3" t="s">
        <v>6</v>
      </c>
      <c r="W3" t="s">
        <v>75</v>
      </c>
      <c r="X3" t="s">
        <v>82</v>
      </c>
      <c r="Y3" s="31" t="s">
        <v>88</v>
      </c>
      <c r="AA3" t="s">
        <v>6</v>
      </c>
      <c r="AB3" t="s">
        <v>75</v>
      </c>
      <c r="AC3" t="s">
        <v>82</v>
      </c>
    </row>
    <row r="4" spans="1:29">
      <c r="D4" t="s">
        <v>64</v>
      </c>
      <c r="E4" t="s">
        <v>65</v>
      </c>
      <c r="F4" t="s">
        <v>66</v>
      </c>
      <c r="K4" t="s">
        <v>64</v>
      </c>
      <c r="L4" t="s">
        <v>65</v>
      </c>
      <c r="M4" t="s">
        <v>66</v>
      </c>
      <c r="R4" t="s">
        <v>64</v>
      </c>
      <c r="S4" t="s">
        <v>65</v>
      </c>
      <c r="T4" t="s">
        <v>66</v>
      </c>
      <c r="V4" t="s">
        <v>12</v>
      </c>
      <c r="W4" t="s">
        <v>86</v>
      </c>
      <c r="X4" t="s">
        <v>87</v>
      </c>
      <c r="AA4" t="s">
        <v>12</v>
      </c>
      <c r="AB4" t="s">
        <v>86</v>
      </c>
      <c r="AC4" t="s">
        <v>87</v>
      </c>
    </row>
    <row r="5" spans="1:29">
      <c r="A5">
        <v>30</v>
      </c>
      <c r="B5">
        <v>28</v>
      </c>
      <c r="C5">
        <v>84</v>
      </c>
      <c r="D5">
        <v>84</v>
      </c>
      <c r="E5" s="25">
        <f>D5/SQRT(C5)</f>
        <v>9.1651513899116797</v>
      </c>
      <c r="F5" s="25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25">
        <f>K5/SQRT(J5)</f>
        <v>16.942304054250318</v>
      </c>
      <c r="M5" s="25">
        <f>L5*2.17*SQRT(2)/SQRT($I$15)</f>
        <v>25.996639245935881</v>
      </c>
      <c r="O5">
        <v>30</v>
      </c>
      <c r="P5">
        <v>28</v>
      </c>
      <c r="Q5" s="29">
        <f>C5/2.6</f>
        <v>32.307692307692307</v>
      </c>
      <c r="R5">
        <v>83</v>
      </c>
      <c r="S5" s="25">
        <f>R5/SQRT(Q5)</f>
        <v>14.602429673891683</v>
      </c>
      <c r="T5" s="25">
        <f>S5*2.17*SQRT(2)/SQRT($P$15)</f>
        <v>22.40628518593239</v>
      </c>
      <c r="V5">
        <v>21</v>
      </c>
      <c r="W5" s="25">
        <f>W6*(V6/V5)</f>
        <v>40.571428571428569</v>
      </c>
      <c r="X5">
        <v>50</v>
      </c>
      <c r="Y5" s="32" t="s">
        <v>49</v>
      </c>
      <c r="AA5">
        <v>21</v>
      </c>
      <c r="AB5" s="25">
        <f>NominalSet!F11</f>
        <v>40.8775820854</v>
      </c>
      <c r="AC5" s="25">
        <f>NominalSet!G11</f>
        <v>13.857257282688288</v>
      </c>
    </row>
    <row r="6" spans="1:29">
      <c r="A6">
        <v>45</v>
      </c>
      <c r="B6">
        <v>19</v>
      </c>
      <c r="C6">
        <v>364</v>
      </c>
      <c r="D6">
        <v>71</v>
      </c>
      <c r="E6" s="25">
        <f t="shared" ref="E6:E13" si="0">D6/SQRT(C6)</f>
        <v>3.7214111703628099</v>
      </c>
      <c r="F6" s="25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25">
        <f t="shared" ref="L6:L13" si="2">K6/SQRT(J6)</f>
        <v>7.6376261582597333</v>
      </c>
      <c r="M6" s="25">
        <f t="shared" ref="M6:M13" si="3">L6*2.17*SQRT(2)/SQRT($I$15)</f>
        <v>11.719339429620881</v>
      </c>
      <c r="O6">
        <v>45</v>
      </c>
      <c r="P6">
        <v>19</v>
      </c>
      <c r="Q6" s="29">
        <f t="shared" ref="Q6:Q13" si="4">C6/2.6</f>
        <v>140</v>
      </c>
      <c r="R6">
        <v>70</v>
      </c>
      <c r="S6" s="25">
        <f t="shared" ref="S6:S13" si="5">R6/SQRT(Q6)</f>
        <v>5.9160797830996161</v>
      </c>
      <c r="T6" s="25">
        <f t="shared" ref="T6:T13" si="6">S6*2.17*SQRT(2)/SQRT($P$15)</f>
        <v>9.0777612878947203</v>
      </c>
      <c r="V6">
        <v>25</v>
      </c>
      <c r="W6" s="25">
        <f>W7*(V7/V6)</f>
        <v>34.08</v>
      </c>
      <c r="X6">
        <v>33</v>
      </c>
      <c r="AA6">
        <v>25</v>
      </c>
      <c r="AB6" s="25">
        <f>NominalSet!F12</f>
        <v>34.010148295</v>
      </c>
      <c r="AC6" s="25">
        <f>NominalSet!G12</f>
        <v>8.5570268479230744</v>
      </c>
    </row>
    <row r="7" spans="1:29">
      <c r="A7">
        <v>70</v>
      </c>
      <c r="B7">
        <v>12</v>
      </c>
      <c r="C7">
        <v>1332</v>
      </c>
      <c r="D7">
        <v>60</v>
      </c>
      <c r="E7" s="25">
        <f t="shared" si="0"/>
        <v>1.6439898730535729</v>
      </c>
      <c r="F7" s="25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25">
        <f t="shared" si="2"/>
        <v>4.1602514716892189</v>
      </c>
      <c r="M7" s="25">
        <f t="shared" si="3"/>
        <v>6.3835801987478913</v>
      </c>
      <c r="O7">
        <v>70</v>
      </c>
      <c r="P7">
        <v>12</v>
      </c>
      <c r="Q7" s="29">
        <f t="shared" si="4"/>
        <v>512.30769230769226</v>
      </c>
      <c r="R7">
        <v>60</v>
      </c>
      <c r="S7" s="25">
        <f t="shared" si="5"/>
        <v>2.6508540184301035</v>
      </c>
      <c r="T7" s="25">
        <f t="shared" si="6"/>
        <v>4.0675279696375517</v>
      </c>
      <c r="V7" s="29">
        <v>30</v>
      </c>
      <c r="W7" s="25">
        <v>28.4</v>
      </c>
      <c r="X7" s="25">
        <f>T5</f>
        <v>22.40628518593239</v>
      </c>
      <c r="Y7" s="32" t="s">
        <v>40</v>
      </c>
      <c r="AA7" s="29">
        <v>30</v>
      </c>
      <c r="AB7" s="25">
        <f>NominalSet!F13</f>
        <v>31.867202236299999</v>
      </c>
      <c r="AC7" s="25">
        <f>NominalSet!G13</f>
        <v>10.271336117779427</v>
      </c>
    </row>
    <row r="8" spans="1:29">
      <c r="A8">
        <v>100</v>
      </c>
      <c r="B8">
        <v>8.4</v>
      </c>
      <c r="C8">
        <v>2196</v>
      </c>
      <c r="D8">
        <v>54</v>
      </c>
      <c r="E8" s="25">
        <f t="shared" si="0"/>
        <v>1.1523319193960637</v>
      </c>
      <c r="F8" s="25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25">
        <f t="shared" si="2"/>
        <v>2.6101844883193723</v>
      </c>
      <c r="M8" s="25">
        <f t="shared" si="3"/>
        <v>4.00512375948969</v>
      </c>
      <c r="O8">
        <v>100</v>
      </c>
      <c r="P8">
        <v>8.4</v>
      </c>
      <c r="Q8" s="29">
        <f t="shared" si="4"/>
        <v>844.61538461538464</v>
      </c>
      <c r="R8">
        <v>55</v>
      </c>
      <c r="S8" s="25">
        <f t="shared" si="5"/>
        <v>1.8924882667294298</v>
      </c>
      <c r="T8" s="25">
        <f t="shared" si="6"/>
        <v>2.9038750921831715</v>
      </c>
      <c r="V8" s="29">
        <v>36</v>
      </c>
      <c r="W8" s="25">
        <f>W7/(V8/V7)</f>
        <v>23.666666666666668</v>
      </c>
      <c r="X8">
        <v>15</v>
      </c>
      <c r="AA8" s="29">
        <v>36</v>
      </c>
      <c r="AB8" s="25">
        <f>NominalSet!F14</f>
        <v>26.581900032499998</v>
      </c>
      <c r="AC8" s="25">
        <f>NominalSet!G14</f>
        <v>6.3392142102759781</v>
      </c>
    </row>
    <row r="9" spans="1:29">
      <c r="A9">
        <v>150</v>
      </c>
      <c r="B9">
        <v>5.6</v>
      </c>
      <c r="C9">
        <v>3048</v>
      </c>
      <c r="D9">
        <v>52</v>
      </c>
      <c r="E9" s="25">
        <f t="shared" si="0"/>
        <v>0.94188062280288398</v>
      </c>
      <c r="F9" s="25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25">
        <f t="shared" si="2"/>
        <v>2.5092850830280278</v>
      </c>
      <c r="M9" s="25">
        <f t="shared" si="3"/>
        <v>3.8503015209624274</v>
      </c>
      <c r="O9">
        <v>150</v>
      </c>
      <c r="P9">
        <v>5.6</v>
      </c>
      <c r="Q9" s="29">
        <f t="shared" si="4"/>
        <v>1172.3076923076924</v>
      </c>
      <c r="R9">
        <v>57</v>
      </c>
      <c r="S9" s="25">
        <f t="shared" si="5"/>
        <v>1.6647692611630556</v>
      </c>
      <c r="T9" s="25">
        <f t="shared" si="6"/>
        <v>2.5544581050841138</v>
      </c>
      <c r="V9" s="29">
        <v>43.199999999999996</v>
      </c>
      <c r="W9" s="25">
        <f t="shared" ref="W9:W25" si="7">W8/(V9/V8)</f>
        <v>19.722222222222225</v>
      </c>
      <c r="X9" s="25">
        <f>T6</f>
        <v>9.0777612878947203</v>
      </c>
      <c r="Y9" s="32" t="s">
        <v>39</v>
      </c>
      <c r="AA9" s="29">
        <v>43.199999999999996</v>
      </c>
      <c r="AB9" s="25">
        <f>NominalSet!F15</f>
        <v>27.304657912</v>
      </c>
      <c r="AC9" s="25">
        <f>NominalSet!G15</f>
        <v>8.5880889902824062</v>
      </c>
    </row>
    <row r="10" spans="1:29">
      <c r="A10">
        <v>220</v>
      </c>
      <c r="B10">
        <v>3.8</v>
      </c>
      <c r="C10">
        <v>1296</v>
      </c>
      <c r="D10">
        <v>59</v>
      </c>
      <c r="E10" s="25">
        <f t="shared" si="0"/>
        <v>1.6388888888888888</v>
      </c>
      <c r="F10" s="25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25">
        <f t="shared" si="2"/>
        <v>3.8120680404601961</v>
      </c>
      <c r="M10" s="25">
        <f t="shared" si="3"/>
        <v>5.8493199810060048</v>
      </c>
      <c r="O10">
        <v>220</v>
      </c>
      <c r="P10">
        <v>3.8</v>
      </c>
      <c r="Q10" s="29">
        <f t="shared" si="4"/>
        <v>498.46153846153845</v>
      </c>
      <c r="R10">
        <v>77</v>
      </c>
      <c r="S10" s="25">
        <f t="shared" si="5"/>
        <v>3.4488547034388239</v>
      </c>
      <c r="T10" s="25">
        <f t="shared" si="6"/>
        <v>5.291997549439305</v>
      </c>
      <c r="V10" s="29">
        <v>51.839999999999996</v>
      </c>
      <c r="W10" s="25">
        <f t="shared" si="7"/>
        <v>16.435185185185187</v>
      </c>
      <c r="X10">
        <v>7</v>
      </c>
      <c r="Y10" s="32" t="s">
        <v>41</v>
      </c>
      <c r="AA10" s="29">
        <v>51.839999999999996</v>
      </c>
      <c r="AB10" s="25">
        <f>NominalSet!F16</f>
        <v>22.7103439276</v>
      </c>
      <c r="AC10" s="25">
        <f>NominalSet!G16</f>
        <v>5.3450518789388592</v>
      </c>
    </row>
    <row r="11" spans="1:29">
      <c r="A11">
        <v>340</v>
      </c>
      <c r="B11">
        <v>2.5</v>
      </c>
      <c r="C11">
        <v>744</v>
      </c>
      <c r="D11">
        <v>100</v>
      </c>
      <c r="E11" s="25">
        <f t="shared" si="0"/>
        <v>3.6661778755338323</v>
      </c>
      <c r="F11" s="25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25">
        <f t="shared" si="2"/>
        <v>20.083160441856091</v>
      </c>
      <c r="M11" s="25">
        <f t="shared" si="3"/>
        <v>30.816037491323684</v>
      </c>
      <c r="O11">
        <v>340</v>
      </c>
      <c r="P11">
        <v>2.5</v>
      </c>
      <c r="Q11" s="29">
        <f t="shared" si="4"/>
        <v>286.15384615384613</v>
      </c>
      <c r="R11">
        <v>220</v>
      </c>
      <c r="S11" s="25">
        <f t="shared" si="5"/>
        <v>13.005375232811875</v>
      </c>
      <c r="T11" s="25">
        <f t="shared" si="6"/>
        <v>19.95573017122317</v>
      </c>
      <c r="V11" s="29">
        <v>62.207999999999991</v>
      </c>
      <c r="W11" s="25">
        <f t="shared" si="7"/>
        <v>13.695987654320989</v>
      </c>
      <c r="X11">
        <v>5</v>
      </c>
      <c r="Y11" s="32" t="s">
        <v>42</v>
      </c>
      <c r="AA11" s="29">
        <v>62.207999999999991</v>
      </c>
      <c r="AB11" s="25">
        <f>NominalSet!F17</f>
        <v>13.669673752</v>
      </c>
      <c r="AC11" s="25">
        <f>NominalSet!G17</f>
        <v>5.4193645158251007</v>
      </c>
    </row>
    <row r="12" spans="1:29">
      <c r="A12">
        <v>500</v>
      </c>
      <c r="B12">
        <v>1.7</v>
      </c>
      <c r="C12">
        <v>1092</v>
      </c>
      <c r="D12">
        <v>350</v>
      </c>
      <c r="E12" s="25">
        <f t="shared" si="0"/>
        <v>10.591481821704043</v>
      </c>
      <c r="F12" s="25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26">
        <f t="shared" si="2"/>
        <v>144.33756729740642</v>
      </c>
      <c r="M12" s="25">
        <f t="shared" si="3"/>
        <v>221.47469757664567</v>
      </c>
      <c r="O12">
        <v>500</v>
      </c>
      <c r="P12">
        <v>1.7</v>
      </c>
      <c r="Q12" s="29">
        <f t="shared" si="4"/>
        <v>420</v>
      </c>
      <c r="R12">
        <v>1500</v>
      </c>
      <c r="S12" s="26">
        <f t="shared" si="5"/>
        <v>73.192505471139995</v>
      </c>
      <c r="T12" s="25">
        <f t="shared" si="6"/>
        <v>112.30816978296816</v>
      </c>
      <c r="V12" s="29">
        <v>74.649599999999992</v>
      </c>
      <c r="W12" s="25">
        <f t="shared" si="7"/>
        <v>11.413323045267491</v>
      </c>
      <c r="X12">
        <v>4</v>
      </c>
      <c r="Y12" s="32" t="s">
        <v>43</v>
      </c>
      <c r="AA12" s="29">
        <v>74.649599999999992</v>
      </c>
      <c r="AB12" s="25">
        <f>NominalSet!F18</f>
        <v>11.3898688195</v>
      </c>
      <c r="AC12" s="25">
        <f>NominalSet!G18</f>
        <v>4.1735264285655296</v>
      </c>
    </row>
    <row r="13" spans="1:29">
      <c r="A13">
        <v>850</v>
      </c>
      <c r="B13">
        <v>1</v>
      </c>
      <c r="C13">
        <v>938</v>
      </c>
      <c r="D13">
        <v>15000</v>
      </c>
      <c r="E13" s="26">
        <f t="shared" si="0"/>
        <v>489.7673613362544</v>
      </c>
      <c r="F13" s="26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27">
        <f t="shared" si="2"/>
        <v>23836.56473113981</v>
      </c>
      <c r="M13" s="25">
        <f t="shared" si="3"/>
        <v>36575.342538630888</v>
      </c>
      <c r="O13">
        <v>850</v>
      </c>
      <c r="P13">
        <v>1</v>
      </c>
      <c r="Q13" s="29">
        <f t="shared" si="4"/>
        <v>360.76923076923077</v>
      </c>
      <c r="R13">
        <v>250000</v>
      </c>
      <c r="S13" s="27">
        <f t="shared" si="5"/>
        <v>13162.102345989842</v>
      </c>
      <c r="T13" s="25">
        <f t="shared" si="6"/>
        <v>20196.215657040102</v>
      </c>
      <c r="V13" s="29">
        <v>89.579519999999988</v>
      </c>
      <c r="W13" s="25">
        <f t="shared" si="7"/>
        <v>9.511102537722909</v>
      </c>
      <c r="X13">
        <v>3.2</v>
      </c>
      <c r="Y13" s="32" t="s">
        <v>44</v>
      </c>
      <c r="AA13" s="29">
        <v>89.579519999999988</v>
      </c>
      <c r="AB13" s="25">
        <f>NominalSet!F19</f>
        <v>10.681871389399999</v>
      </c>
      <c r="AC13" s="25">
        <f>NominalSet!G19</f>
        <v>4.2566126346498478</v>
      </c>
    </row>
    <row r="14" spans="1:29">
      <c r="V14" s="29">
        <v>107.49542399999999</v>
      </c>
      <c r="W14" s="25">
        <f t="shared" si="7"/>
        <v>7.9259187814357581</v>
      </c>
      <c r="X14" s="25">
        <f>T8</f>
        <v>2.9038750921831715</v>
      </c>
      <c r="Y14" s="32" t="s">
        <v>50</v>
      </c>
      <c r="AA14" s="29">
        <v>107.49542399999999</v>
      </c>
      <c r="AB14" s="25">
        <f>NominalSet!F20</f>
        <v>8.9045589852999996</v>
      </c>
      <c r="AC14" s="25">
        <f>NominalSet!G20</f>
        <v>3.384737146536017</v>
      </c>
    </row>
    <row r="15" spans="1:29">
      <c r="A15" t="s">
        <v>84</v>
      </c>
      <c r="B15">
        <v>4</v>
      </c>
      <c r="C15" t="s">
        <v>85</v>
      </c>
      <c r="H15" t="s">
        <v>84</v>
      </c>
      <c r="I15">
        <v>4</v>
      </c>
      <c r="J15" t="s">
        <v>85</v>
      </c>
      <c r="O15" t="s">
        <v>84</v>
      </c>
      <c r="P15">
        <v>4</v>
      </c>
      <c r="Q15" t="s">
        <v>85</v>
      </c>
      <c r="V15" s="29">
        <v>128.99450879999998</v>
      </c>
      <c r="W15" s="25">
        <f t="shared" si="7"/>
        <v>6.6049323178631321</v>
      </c>
      <c r="X15">
        <v>2.7</v>
      </c>
      <c r="Y15" s="32" t="s">
        <v>48</v>
      </c>
      <c r="AA15" s="29">
        <v>128.99450879999998</v>
      </c>
      <c r="AB15" s="25">
        <f>NominalSet!F21</f>
        <v>9.1343940881000005</v>
      </c>
      <c r="AC15" s="25">
        <f>NominalSet!G21</f>
        <v>4.0595289564544599</v>
      </c>
    </row>
    <row r="16" spans="1:29">
      <c r="V16" s="29">
        <v>154.79341055999996</v>
      </c>
      <c r="W16" s="25">
        <f t="shared" si="7"/>
        <v>5.5041102648859432</v>
      </c>
      <c r="X16" s="25">
        <f>T9</f>
        <v>2.5544581050841138</v>
      </c>
      <c r="Y16" s="32" t="s">
        <v>51</v>
      </c>
      <c r="AA16" s="29">
        <v>154.79341055999996</v>
      </c>
      <c r="AB16" s="25">
        <f>NominalSet!F22</f>
        <v>7.6174175515</v>
      </c>
      <c r="AC16" s="25">
        <f>NominalSet!G22</f>
        <v>3.460822834663436</v>
      </c>
    </row>
    <row r="17" spans="1:29">
      <c r="A17" s="58" t="s">
        <v>28</v>
      </c>
      <c r="B17" s="58"/>
      <c r="C17" s="58"/>
      <c r="D17" s="58"/>
      <c r="E17" s="58"/>
      <c r="F17" s="58"/>
      <c r="V17" s="29">
        <v>185.75209267199995</v>
      </c>
      <c r="W17" s="25">
        <f t="shared" si="7"/>
        <v>4.5867585540716194</v>
      </c>
      <c r="X17">
        <v>3.6</v>
      </c>
      <c r="Y17" s="32" t="s">
        <v>52</v>
      </c>
      <c r="AA17" s="29">
        <v>185.75209267199995</v>
      </c>
      <c r="AB17" s="25">
        <f>NominalSet!F23</f>
        <v>4.5774089226000001</v>
      </c>
      <c r="AC17" s="25">
        <f>NominalSet!G23</f>
        <v>4.2170573658376371</v>
      </c>
    </row>
    <row r="18" spans="1:29">
      <c r="A18" s="58" t="s">
        <v>78</v>
      </c>
      <c r="B18" s="58"/>
      <c r="C18" s="58"/>
      <c r="D18" s="58"/>
      <c r="E18" s="58"/>
      <c r="F18" s="58"/>
      <c r="V18" s="29">
        <v>222.90251120639994</v>
      </c>
      <c r="W18" s="25">
        <f t="shared" si="7"/>
        <v>3.822298795059683</v>
      </c>
      <c r="X18" s="25">
        <f>T10</f>
        <v>5.291997549439305</v>
      </c>
      <c r="Y18" s="32" t="s">
        <v>45</v>
      </c>
      <c r="AA18" s="29">
        <v>222.90251120639994</v>
      </c>
      <c r="AB18" s="25">
        <f>NominalSet!F24</f>
        <v>3.8145074354999999</v>
      </c>
      <c r="AC18" s="25">
        <f>NominalSet!G24</f>
        <v>5.3485917502758307</v>
      </c>
    </row>
    <row r="19" spans="1:29">
      <c r="A19" t="s">
        <v>6</v>
      </c>
      <c r="B19" t="s">
        <v>61</v>
      </c>
      <c r="C19" t="s">
        <v>62</v>
      </c>
      <c r="D19" s="59" t="s">
        <v>63</v>
      </c>
      <c r="E19" s="59"/>
      <c r="F19" t="s">
        <v>82</v>
      </c>
      <c r="V19" s="29">
        <v>267.48301344767992</v>
      </c>
      <c r="W19" s="25">
        <f t="shared" si="7"/>
        <v>3.1852489958830694</v>
      </c>
      <c r="X19">
        <v>9</v>
      </c>
      <c r="Y19" s="32" t="s">
        <v>53</v>
      </c>
      <c r="AA19" s="29">
        <v>267.48301344767992</v>
      </c>
      <c r="AB19" s="25">
        <f>NominalSet!F25</f>
        <v>3.5777465157999999</v>
      </c>
      <c r="AC19" s="25">
        <f>NominalSet!G25</f>
        <v>6.2929131200708515</v>
      </c>
    </row>
    <row r="20" spans="1:29">
      <c r="D20" t="s">
        <v>64</v>
      </c>
      <c r="E20" t="s">
        <v>65</v>
      </c>
      <c r="F20" t="s">
        <v>66</v>
      </c>
      <c r="V20" s="29">
        <v>320.97961613721588</v>
      </c>
      <c r="W20" s="25">
        <f t="shared" si="7"/>
        <v>2.6543741632358913</v>
      </c>
      <c r="X20" s="25">
        <v>16</v>
      </c>
      <c r="Y20" s="32" t="s">
        <v>54</v>
      </c>
      <c r="AA20" s="29">
        <v>320.97961613721588</v>
      </c>
      <c r="AB20" s="25">
        <f>NominalSet!F26</f>
        <v>2.9812436747</v>
      </c>
      <c r="AC20" s="25">
        <f>NominalSet!G26</f>
        <v>10.885549455</v>
      </c>
    </row>
    <row r="21" spans="1:29">
      <c r="A21">
        <v>60</v>
      </c>
      <c r="B21" s="25">
        <v>17.87</v>
      </c>
      <c r="C21">
        <v>48</v>
      </c>
      <c r="E21" s="25"/>
      <c r="F21">
        <v>10.6</v>
      </c>
      <c r="V21" s="29">
        <v>385.17553936465907</v>
      </c>
      <c r="W21" s="25">
        <f t="shared" si="7"/>
        <v>2.2119784693632427</v>
      </c>
      <c r="X21">
        <v>32</v>
      </c>
      <c r="Y21" s="32" t="s">
        <v>47</v>
      </c>
      <c r="AA21" s="29">
        <v>385.17553936465907</v>
      </c>
      <c r="AB21" s="25">
        <f>NominalSet!F27</f>
        <v>3.0586120528</v>
      </c>
      <c r="AC21" s="25">
        <f>NominalSet!G27</f>
        <v>20.830331130516637</v>
      </c>
    </row>
    <row r="22" spans="1:29">
      <c r="A22">
        <v>70</v>
      </c>
      <c r="B22" s="25">
        <f>B21/(A22/A21)</f>
        <v>15.317142857142857</v>
      </c>
      <c r="C22">
        <v>48</v>
      </c>
      <c r="E22" s="25"/>
      <c r="F22">
        <v>10</v>
      </c>
      <c r="V22" s="29">
        <v>462.21064723759088</v>
      </c>
      <c r="W22" s="25">
        <f t="shared" si="7"/>
        <v>1.8433153911360356</v>
      </c>
      <c r="X22">
        <v>75</v>
      </c>
      <c r="Y22" s="32" t="s">
        <v>55</v>
      </c>
      <c r="AA22" s="29">
        <v>462.21064723759088</v>
      </c>
      <c r="AB22" s="25">
        <f>NominalSet!F28</f>
        <v>2.549070661</v>
      </c>
      <c r="AC22" s="25">
        <f>NominalSet!G28</f>
        <v>55.737541305000001</v>
      </c>
    </row>
    <row r="23" spans="1:29">
      <c r="A23">
        <v>80</v>
      </c>
      <c r="B23" s="25">
        <f t="shared" ref="B23:B39" si="8">B22/(A23/A22)</f>
        <v>13.4025</v>
      </c>
      <c r="C23">
        <v>48</v>
      </c>
      <c r="E23" s="25"/>
      <c r="F23">
        <v>9.6</v>
      </c>
      <c r="V23" s="29">
        <v>554.65277668510907</v>
      </c>
      <c r="W23" s="25">
        <f t="shared" si="7"/>
        <v>1.5360961592800297</v>
      </c>
      <c r="X23" s="25">
        <v>220</v>
      </c>
      <c r="Y23" s="32" t="s">
        <v>56</v>
      </c>
      <c r="AA23" s="29">
        <v>554.65277668510907</v>
      </c>
      <c r="AB23" s="25">
        <f>NominalSet!F29</f>
        <v>1.5329553906</v>
      </c>
      <c r="AC23" s="25">
        <f>NominalSet!G29</f>
        <v>308.62734385032894</v>
      </c>
    </row>
    <row r="24" spans="1:29">
      <c r="A24">
        <v>90</v>
      </c>
      <c r="B24" s="25">
        <f t="shared" si="8"/>
        <v>11.913333333333334</v>
      </c>
      <c r="C24">
        <v>78</v>
      </c>
      <c r="E24" s="25"/>
      <c r="F24">
        <v>7.3</v>
      </c>
      <c r="V24" s="29">
        <v>665.58333202213089</v>
      </c>
      <c r="W24" s="25">
        <f t="shared" si="7"/>
        <v>1.2800801327333582</v>
      </c>
      <c r="X24">
        <v>1100</v>
      </c>
      <c r="Y24" s="32" t="s">
        <v>57</v>
      </c>
      <c r="AA24" s="29">
        <v>665.58333202213089</v>
      </c>
      <c r="AB24" s="25">
        <f>NominalSet!F30</f>
        <v>1.2774244401999999</v>
      </c>
      <c r="AC24" s="25">
        <f>NominalSet!G30</f>
        <v>1463.9504551800205</v>
      </c>
    </row>
    <row r="25" spans="1:29">
      <c r="A25">
        <v>100</v>
      </c>
      <c r="B25" s="25">
        <f t="shared" si="8"/>
        <v>10.722</v>
      </c>
      <c r="C25">
        <v>78</v>
      </c>
      <c r="E25" s="25"/>
      <c r="F25">
        <v>7.1</v>
      </c>
      <c r="V25" s="29">
        <v>798.69999842655704</v>
      </c>
      <c r="W25" s="25">
        <f t="shared" si="7"/>
        <v>1.0667334439444651</v>
      </c>
      <c r="X25" s="25">
        <v>10000</v>
      </c>
      <c r="Y25" s="32" t="s">
        <v>58</v>
      </c>
      <c r="AA25" s="29">
        <v>798.69999842655704</v>
      </c>
      <c r="AB25" s="25">
        <f>NominalSet!F31</f>
        <v>1.0645470231</v>
      </c>
      <c r="AC25" s="25">
        <f>NominalSet!G31</f>
        <v>9935.4696759201343</v>
      </c>
    </row>
    <row r="26" spans="1:29">
      <c r="A26">
        <v>115</v>
      </c>
      <c r="B26" s="25">
        <f t="shared" si="8"/>
        <v>9.3234782608695657</v>
      </c>
      <c r="C26">
        <v>76</v>
      </c>
      <c r="E26" s="25"/>
      <c r="F26">
        <v>7</v>
      </c>
    </row>
    <row r="27" spans="1:29">
      <c r="A27">
        <v>130</v>
      </c>
      <c r="B27" s="25">
        <f t="shared" si="8"/>
        <v>8.2476923076923079</v>
      </c>
      <c r="C27">
        <v>124</v>
      </c>
      <c r="E27" s="25"/>
      <c r="F27">
        <v>5.5</v>
      </c>
      <c r="V27" t="s">
        <v>77</v>
      </c>
    </row>
    <row r="28" spans="1:29">
      <c r="A28">
        <v>145</v>
      </c>
      <c r="B28" s="25">
        <f t="shared" si="8"/>
        <v>7.3944827586206898</v>
      </c>
      <c r="C28">
        <v>144</v>
      </c>
      <c r="E28" s="26"/>
      <c r="F28">
        <v>5.0999999999999996</v>
      </c>
      <c r="V28" t="s">
        <v>76</v>
      </c>
    </row>
    <row r="29" spans="1:29">
      <c r="A29">
        <v>160</v>
      </c>
      <c r="B29" s="25">
        <f t="shared" si="8"/>
        <v>6.7012499999999999</v>
      </c>
      <c r="C29">
        <v>144</v>
      </c>
      <c r="E29" s="27"/>
      <c r="F29">
        <v>5.2</v>
      </c>
    </row>
    <row r="30" spans="1:29">
      <c r="A30">
        <v>175</v>
      </c>
      <c r="B30" s="25">
        <f t="shared" si="8"/>
        <v>6.1268571428571432</v>
      </c>
      <c r="C30">
        <v>160</v>
      </c>
      <c r="F30">
        <v>5.0999999999999996</v>
      </c>
    </row>
    <row r="31" spans="1:29">
      <c r="A31">
        <v>195</v>
      </c>
      <c r="B31" s="25">
        <f t="shared" si="8"/>
        <v>5.4984615384615383</v>
      </c>
      <c r="C31">
        <v>192</v>
      </c>
      <c r="F31">
        <v>4.9000000000000004</v>
      </c>
    </row>
    <row r="32" spans="1:29">
      <c r="A32">
        <v>220</v>
      </c>
      <c r="B32" s="25">
        <f t="shared" si="8"/>
        <v>4.8736363636363631</v>
      </c>
      <c r="C32">
        <v>192</v>
      </c>
      <c r="F32">
        <v>5.4</v>
      </c>
    </row>
    <row r="33" spans="1:6">
      <c r="A33">
        <v>255</v>
      </c>
      <c r="B33" s="25">
        <f t="shared" si="8"/>
        <v>4.2047058823529406</v>
      </c>
      <c r="C33">
        <v>128</v>
      </c>
      <c r="F33">
        <v>7.9</v>
      </c>
    </row>
    <row r="34" spans="1:6">
      <c r="A34">
        <v>295</v>
      </c>
      <c r="B34" s="25">
        <f t="shared" si="8"/>
        <v>3.63457627118644</v>
      </c>
      <c r="C34">
        <v>128</v>
      </c>
      <c r="F34">
        <v>10.5</v>
      </c>
    </row>
    <row r="35" spans="1:6">
      <c r="A35">
        <v>340</v>
      </c>
      <c r="B35" s="25">
        <f t="shared" si="8"/>
        <v>3.1535294117647052</v>
      </c>
      <c r="C35">
        <v>128</v>
      </c>
      <c r="F35">
        <v>15.7</v>
      </c>
    </row>
    <row r="36" spans="1:6">
      <c r="A36">
        <v>390</v>
      </c>
      <c r="B36" s="25">
        <f t="shared" si="8"/>
        <v>2.7492307692307687</v>
      </c>
      <c r="C36">
        <v>96</v>
      </c>
      <c r="F36">
        <v>31.1</v>
      </c>
    </row>
    <row r="37" spans="1:6">
      <c r="A37">
        <v>450</v>
      </c>
      <c r="B37" s="25">
        <f t="shared" si="8"/>
        <v>2.3826666666666663</v>
      </c>
      <c r="C37">
        <v>96</v>
      </c>
      <c r="F37">
        <v>64.900000000000006</v>
      </c>
    </row>
    <row r="38" spans="1:6">
      <c r="A38">
        <v>520</v>
      </c>
      <c r="B38" s="25">
        <f t="shared" si="8"/>
        <v>2.061923076923077</v>
      </c>
      <c r="C38">
        <v>96</v>
      </c>
      <c r="F38">
        <v>164.8</v>
      </c>
    </row>
    <row r="39" spans="1:6">
      <c r="A39">
        <v>600</v>
      </c>
      <c r="B39" s="25">
        <f t="shared" si="8"/>
        <v>1.7870000000000001</v>
      </c>
      <c r="C39">
        <v>96</v>
      </c>
      <c r="F39">
        <v>506.7</v>
      </c>
    </row>
  </sheetData>
  <mergeCells count="12">
    <mergeCell ref="V1:X1"/>
    <mergeCell ref="A18:F18"/>
    <mergeCell ref="O2:T2"/>
    <mergeCell ref="O1:T1"/>
    <mergeCell ref="D19:E19"/>
    <mergeCell ref="K3:L3"/>
    <mergeCell ref="R3:S3"/>
    <mergeCell ref="D3:E3"/>
    <mergeCell ref="A2:E2"/>
    <mergeCell ref="A1:M1"/>
    <mergeCell ref="H2:M2"/>
    <mergeCell ref="A17:F1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A19" sqref="A19"/>
    </sheetView>
  </sheetViews>
  <sheetFormatPr defaultColWidth="11.5546875" defaultRowHeight="15"/>
  <cols>
    <col min="2" max="2" width="12.109375" bestFit="1" customWidth="1"/>
    <col min="7" max="7" width="12.109375" bestFit="1" customWidth="1"/>
  </cols>
  <sheetData>
    <row r="1" spans="1:9">
      <c r="A1" t="s">
        <v>74</v>
      </c>
      <c r="F1" t="s">
        <v>28</v>
      </c>
    </row>
    <row r="2" spans="1:9">
      <c r="A2" t="s">
        <v>71</v>
      </c>
      <c r="B2">
        <v>140</v>
      </c>
      <c r="F2" t="s">
        <v>71</v>
      </c>
      <c r="G2">
        <v>120</v>
      </c>
    </row>
    <row r="3" spans="1:9">
      <c r="A3">
        <v>30</v>
      </c>
      <c r="B3" t="s">
        <v>12</v>
      </c>
      <c r="C3">
        <v>1</v>
      </c>
      <c r="D3" t="s">
        <v>72</v>
      </c>
      <c r="F3">
        <v>30</v>
      </c>
      <c r="G3" t="s">
        <v>12</v>
      </c>
      <c r="H3">
        <v>1</v>
      </c>
      <c r="I3" t="s">
        <v>72</v>
      </c>
    </row>
    <row r="4" spans="1:9">
      <c r="A4">
        <v>90</v>
      </c>
      <c r="B4" t="s">
        <v>12</v>
      </c>
      <c r="C4">
        <f>C3/(A4/A3)</f>
        <v>0.33333333333333331</v>
      </c>
      <c r="D4" t="s">
        <v>72</v>
      </c>
      <c r="F4">
        <v>90</v>
      </c>
      <c r="G4" t="s">
        <v>12</v>
      </c>
      <c r="H4">
        <f>H3/(F4/F3)</f>
        <v>0.33333333333333331</v>
      </c>
      <c r="I4" t="s">
        <v>72</v>
      </c>
    </row>
    <row r="5" spans="1:9">
      <c r="A5">
        <v>150</v>
      </c>
      <c r="B5" t="s">
        <v>12</v>
      </c>
      <c r="C5">
        <f>C4/(A5/A4)</f>
        <v>0.19999999999999998</v>
      </c>
      <c r="D5" t="s">
        <v>72</v>
      </c>
      <c r="F5">
        <v>150</v>
      </c>
      <c r="G5" t="s">
        <v>12</v>
      </c>
      <c r="H5">
        <f>H4/(F5/F4)</f>
        <v>0.19999999999999998</v>
      </c>
      <c r="I5" t="s">
        <v>72</v>
      </c>
    </row>
    <row r="7" spans="1:9">
      <c r="A7" t="s">
        <v>73</v>
      </c>
      <c r="B7">
        <f>4/(2*3.14159^2*$B$2^2)</f>
        <v>1.0338913755840798E-5</v>
      </c>
      <c r="F7" t="s">
        <v>73</v>
      </c>
      <c r="G7">
        <f>4/(2*3.14159^2*$G$2^2)</f>
        <v>1.4072410389894419E-5</v>
      </c>
    </row>
    <row r="8" spans="1:9">
      <c r="A8" t="s">
        <v>67</v>
      </c>
      <c r="B8" t="s">
        <v>68</v>
      </c>
      <c r="C8" t="s">
        <v>69</v>
      </c>
      <c r="D8" t="s">
        <v>70</v>
      </c>
      <c r="F8" t="s">
        <v>67</v>
      </c>
      <c r="G8" t="s">
        <v>68</v>
      </c>
      <c r="H8" t="s">
        <v>69</v>
      </c>
      <c r="I8" t="s">
        <v>70</v>
      </c>
    </row>
    <row r="9" spans="1:9">
      <c r="A9">
        <v>1</v>
      </c>
      <c r="B9" s="25">
        <f>60*DEGREES(ACOS(1-($B$7*($C$3^2)/A9^2)))</f>
        <v>15.632437863194284</v>
      </c>
      <c r="C9" s="25">
        <f>60*DEGREES(ACOS(1-($B$7*($C$4^2)/A9^2)))</f>
        <v>5.2108086304642764</v>
      </c>
      <c r="D9" s="25">
        <f>60*DEGREES(ACOS(1-($B$7*($C$5^2)/A9^2)))</f>
        <v>3.1264849866590518</v>
      </c>
      <c r="F9">
        <v>1</v>
      </c>
      <c r="G9" s="25">
        <f>60*DEGREES(ACOS(1-($G$7*($C$3^2)/F9^2)))</f>
        <v>18.237849848021327</v>
      </c>
      <c r="H9" s="25">
        <f>60*DEGREES(ACOS(1-($G$7*($C$4^2)/F9^2)))</f>
        <v>6.079276945632814</v>
      </c>
      <c r="I9" s="25">
        <f>60*DEGREES(ACOS(1-($G$7*($C$5^2)/F9^2)))</f>
        <v>3.6475658631729662</v>
      </c>
    </row>
    <row r="10" spans="1:9">
      <c r="A10">
        <v>0.95</v>
      </c>
      <c r="B10" s="25">
        <f t="shared" ref="B10:B18" si="0">60*DEGREES(ACOS(1-($B$7*($C$3^2)/A10^2)))</f>
        <v>16.455199282427881</v>
      </c>
      <c r="C10" s="25">
        <f t="shared" ref="C10:C17" si="1">60*DEGREES(ACOS(1-($B$7*($C$4^2)/A10^2)))</f>
        <v>5.4850617729899005</v>
      </c>
      <c r="D10" s="25">
        <f t="shared" ref="D10:D17" si="2">60*DEGREES(ACOS(1-($B$7*($C$5^2)/A10^2)))</f>
        <v>3.2910368401695478</v>
      </c>
      <c r="F10">
        <v>0.95</v>
      </c>
      <c r="G10" s="25">
        <f t="shared" ref="G10:G19" si="3">60*DEGREES(ACOS(1-($G$7*($C$3^2)/F10^2)))</f>
        <v>19.19773911432371</v>
      </c>
      <c r="H10" s="25">
        <f t="shared" ref="H10:H19" si="4">60*DEGREES(ACOS(1-($G$7*($C$4^2)/F10^2)))</f>
        <v>6.3992389802896472</v>
      </c>
      <c r="I10" s="25">
        <f t="shared" ref="I10:I19" si="5">60*DEGREES(ACOS(1-($G$7*($C$5^2)/F10^2)))</f>
        <v>3.8395430334086127</v>
      </c>
    </row>
    <row r="11" spans="1:9">
      <c r="A11">
        <v>0.9</v>
      </c>
      <c r="B11" s="25">
        <f t="shared" si="0"/>
        <v>17.369378913893481</v>
      </c>
      <c r="C11" s="25">
        <f t="shared" si="1"/>
        <v>5.7897874970044603</v>
      </c>
      <c r="D11" s="25">
        <f t="shared" si="2"/>
        <v>3.4738722354719642</v>
      </c>
      <c r="F11">
        <v>0.9</v>
      </c>
      <c r="G11" s="25">
        <f t="shared" si="3"/>
        <v>20.264283183223792</v>
      </c>
      <c r="H11" s="25">
        <f t="shared" si="4"/>
        <v>6.7547523683140831</v>
      </c>
      <c r="I11" s="25">
        <f t="shared" si="5"/>
        <v>4.0528510038505612</v>
      </c>
    </row>
    <row r="12" spans="1:9">
      <c r="A12">
        <v>0.85</v>
      </c>
      <c r="B12" s="25">
        <f t="shared" si="0"/>
        <v>18.391109454456085</v>
      </c>
      <c r="C12" s="25">
        <f t="shared" si="1"/>
        <v>6.1303633199353138</v>
      </c>
      <c r="D12" s="25">
        <f t="shared" si="2"/>
        <v>3.6782176801211346</v>
      </c>
      <c r="F12">
        <v>0.85</v>
      </c>
      <c r="G12" s="25">
        <f t="shared" si="3"/>
        <v>21.456303603170415</v>
      </c>
      <c r="H12" s="25">
        <f t="shared" si="4"/>
        <v>7.1520908822728231</v>
      </c>
      <c r="I12" s="25">
        <f t="shared" si="5"/>
        <v>4.2912540339137806</v>
      </c>
    </row>
    <row r="13" spans="1:9">
      <c r="A13">
        <v>0.8</v>
      </c>
      <c r="B13" s="25">
        <f t="shared" si="0"/>
        <v>19.540556799155297</v>
      </c>
      <c r="C13" s="25">
        <f t="shared" si="1"/>
        <v>6.5135111387353541</v>
      </c>
      <c r="D13" s="25">
        <f t="shared" si="2"/>
        <v>3.9081063090212713</v>
      </c>
      <c r="F13">
        <v>0.8</v>
      </c>
      <c r="G13" s="25">
        <f t="shared" si="3"/>
        <v>22.797327348274859</v>
      </c>
      <c r="H13" s="25">
        <f t="shared" si="4"/>
        <v>7.5990967389114239</v>
      </c>
      <c r="I13" s="25">
        <f t="shared" si="5"/>
        <v>4.5594574494327693</v>
      </c>
    </row>
    <row r="14" spans="1:9">
      <c r="A14">
        <v>0.75</v>
      </c>
      <c r="B14" s="25">
        <f t="shared" si="0"/>
        <v>20.843264451728285</v>
      </c>
      <c r="C14" s="25">
        <f t="shared" si="1"/>
        <v>6.9477453577614519</v>
      </c>
      <c r="D14" s="25">
        <f t="shared" si="2"/>
        <v>4.1686467607579276</v>
      </c>
      <c r="F14">
        <v>0.75</v>
      </c>
      <c r="G14" s="25">
        <f t="shared" si="3"/>
        <v>24.317155310579672</v>
      </c>
      <c r="H14" s="25">
        <f t="shared" si="4"/>
        <v>8.105703415611055</v>
      </c>
      <c r="I14" s="25">
        <f t="shared" si="5"/>
        <v>4.8634213283943755</v>
      </c>
    </row>
    <row r="15" spans="1:9">
      <c r="A15">
        <v>0.7</v>
      </c>
      <c r="B15" s="25">
        <f t="shared" si="0"/>
        <v>22.33207411658605</v>
      </c>
      <c r="C15" s="25">
        <f t="shared" si="1"/>
        <v>7.4440130709278565</v>
      </c>
      <c r="D15" s="25">
        <f t="shared" si="2"/>
        <v>4.4664072839655633</v>
      </c>
      <c r="F15">
        <v>0.7</v>
      </c>
      <c r="G15" s="25">
        <f t="shared" si="3"/>
        <v>26.054103012479757</v>
      </c>
      <c r="H15" s="25">
        <f t="shared" si="4"/>
        <v>8.6846825286689064</v>
      </c>
      <c r="I15" s="25">
        <f t="shared" si="5"/>
        <v>5.2108086304642764</v>
      </c>
    </row>
    <row r="16" spans="1:9">
      <c r="A16">
        <v>0.65</v>
      </c>
      <c r="B16" s="25">
        <f t="shared" si="0"/>
        <v>24.049932727739883</v>
      </c>
      <c r="C16" s="25">
        <f t="shared" si="1"/>
        <v>8.0166297111161899</v>
      </c>
      <c r="D16" s="25">
        <f t="shared" si="2"/>
        <v>4.8099771290443059</v>
      </c>
      <c r="F16">
        <v>0.65</v>
      </c>
      <c r="G16" s="25">
        <f t="shared" si="3"/>
        <v>28.058275511053623</v>
      </c>
      <c r="H16" s="25">
        <f t="shared" si="4"/>
        <v>9.3527354282524549</v>
      </c>
      <c r="I16" s="25">
        <f t="shared" si="5"/>
        <v>5.6116401493279362</v>
      </c>
    </row>
    <row r="17" spans="1:9">
      <c r="A17">
        <v>0.6</v>
      </c>
      <c r="B17" s="25">
        <f t="shared" si="0"/>
        <v>26.054103012479757</v>
      </c>
      <c r="C17" s="25">
        <f t="shared" si="1"/>
        <v>8.6846825286689064</v>
      </c>
      <c r="D17" s="25">
        <f t="shared" si="2"/>
        <v>5.2108086304642764</v>
      </c>
      <c r="F17">
        <v>0.6</v>
      </c>
      <c r="G17" s="25">
        <f t="shared" si="3"/>
        <v>30.396479784581508</v>
      </c>
      <c r="H17" s="25">
        <f t="shared" si="4"/>
        <v>10.132130589748837</v>
      </c>
      <c r="I17" s="25">
        <f t="shared" si="5"/>
        <v>6.079276945632814</v>
      </c>
    </row>
    <row r="18" spans="1:9">
      <c r="A18">
        <v>0.57499999999999996</v>
      </c>
      <c r="B18" s="25">
        <f t="shared" si="0"/>
        <v>27.186895880879604</v>
      </c>
      <c r="C18" s="25">
        <f t="shared" ref="C18" si="6">60*DEGREES(ACOS(1-($B$7*($C$4^2)/A18^2)))</f>
        <v>9.0622776353816654</v>
      </c>
      <c r="D18" s="25">
        <f t="shared" ref="D18" si="7">60*DEGREES(ACOS(1-($B$7*($C$5^2)/A18^2)))</f>
        <v>5.4373655736086661</v>
      </c>
      <c r="F18">
        <v>0.55000000000000004</v>
      </c>
      <c r="G18" s="25">
        <f t="shared" si="3"/>
        <v>33.159816661323532</v>
      </c>
      <c r="H18" s="25">
        <f t="shared" si="4"/>
        <v>11.053234131089273</v>
      </c>
      <c r="I18" s="25">
        <f t="shared" si="5"/>
        <v>6.6319386503043258</v>
      </c>
    </row>
    <row r="19" spans="1:9">
      <c r="A19" s="30">
        <v>0.55000000000000004</v>
      </c>
      <c r="B19" s="26">
        <f>60*DEGREES(ACOS(1-($B$7*($C$3^2)/A19^2)))</f>
        <v>28.422670761926895</v>
      </c>
      <c r="C19" s="26">
        <f>60*DEGREES(ACOS(1-($B$7*($C$4^2)/A19^2)))</f>
        <v>9.474199601131664</v>
      </c>
      <c r="D19" s="26">
        <f>60*DEGREES(ACOS(1-($B$7*($C$5^2)/A19^2)))</f>
        <v>5.6845186093859361</v>
      </c>
      <c r="F19" s="30">
        <v>0.5</v>
      </c>
      <c r="G19" s="26">
        <f t="shared" si="3"/>
        <v>36.47582802321287</v>
      </c>
      <c r="H19" s="26">
        <f t="shared" si="4"/>
        <v>12.158558644056273</v>
      </c>
      <c r="I19" s="26">
        <f t="shared" si="5"/>
        <v>7.2951327529473069</v>
      </c>
    </row>
    <row r="20" spans="1:9">
      <c r="A20">
        <v>0.5</v>
      </c>
      <c r="B20" s="25">
        <f>60*DEGREES(ACOS(1-($B$7*($C$3^2)/A20^2)))</f>
        <v>31.264956538556497</v>
      </c>
      <c r="C20" s="25">
        <f>60*DEGREES(ACOS(1-($B$7*($C$4^2)/A20^2)))</f>
        <v>10.421620253812698</v>
      </c>
      <c r="D20" s="25">
        <f>60*DEGREES(ACOS(1-($B$7*($C$5^2)/A20^2)))</f>
        <v>6.2529706198078268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NominalSet</vt:lpstr>
      <vt:lpstr>DetectorNoise</vt:lpstr>
      <vt:lpstr>InitialSet</vt:lpstr>
      <vt:lpstr>Comparisons</vt:lpstr>
      <vt:lpstr>Weights</vt:lpstr>
      <vt:lpstr>MirrorFill</vt:lpstr>
    </vt:vector>
  </TitlesOfParts>
  <Company>University of Minnesota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kyoung</cp:lastModifiedBy>
  <dcterms:created xsi:type="dcterms:W3CDTF">2017-04-18T19:10:53Z</dcterms:created>
  <dcterms:modified xsi:type="dcterms:W3CDTF">2017-10-09T16:45:25Z</dcterms:modified>
</cp:coreProperties>
</file>