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showInkAnnotation="0" autoCompressPictures="0"/>
  <bookViews>
    <workbookView xWindow="2460" yWindow="-150" windowWidth="16185" windowHeight="16320" tabRatio="571"/>
  </bookViews>
  <sheets>
    <sheet name="NominalSet" sheetId="3" r:id="rId1"/>
    <sheet name="DetectorNoise, V2.5" sheetId="6" r:id="rId2"/>
    <sheet name="DetectorNoise, V3D, case1" sheetId="8" r:id="rId3"/>
    <sheet name="DetectorNoise, V3D, case2" sheetId="10" r:id="rId4"/>
    <sheet name="DetectorNoise, V3D, case3" sheetId="11" r:id="rId5"/>
    <sheet name="DetectorNoise, V3D, case4" sheetId="12" r:id="rId6"/>
    <sheet name="Comparisons" sheetId="1" r:id="rId7"/>
    <sheet name="Weights" sheetId="4" r:id="rId8"/>
    <sheet name="MirrorFill" sheetId="5" r:id="rId9"/>
  </sheets>
  <calcPr calcId="125725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T33" i="3"/>
  <c r="R12"/>
  <c r="R13"/>
  <c r="R14"/>
  <c r="R15"/>
  <c r="R16"/>
  <c r="R17"/>
  <c r="R18"/>
  <c r="R11"/>
  <c r="S12"/>
  <c r="T12"/>
  <c r="S13"/>
  <c r="T13"/>
  <c r="S14"/>
  <c r="T14"/>
  <c r="S15"/>
  <c r="T15"/>
  <c r="S16"/>
  <c r="T16"/>
  <c r="S17"/>
  <c r="T17"/>
  <c r="S18"/>
  <c r="T18"/>
  <c r="T11"/>
  <c r="S11"/>
  <c r="J23" i="12"/>
  <c r="K21"/>
  <c r="L21" s="1"/>
  <c r="F21"/>
  <c r="K20"/>
  <c r="L20" s="1"/>
  <c r="F20"/>
  <c r="K19"/>
  <c r="L19" s="1"/>
  <c r="F19"/>
  <c r="K18"/>
  <c r="L18" s="1"/>
  <c r="F18"/>
  <c r="K17"/>
  <c r="L17" s="1"/>
  <c r="F17"/>
  <c r="K16"/>
  <c r="L16" s="1"/>
  <c r="F16"/>
  <c r="K15"/>
  <c r="L15" s="1"/>
  <c r="F15"/>
  <c r="K14"/>
  <c r="L14" s="1"/>
  <c r="F14"/>
  <c r="F15" i="11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14"/>
  <c r="H33" i="3"/>
  <c r="G12"/>
  <c r="H12"/>
  <c r="G13"/>
  <c r="H13"/>
  <c r="G14"/>
  <c r="H14"/>
  <c r="G15"/>
  <c r="H15"/>
  <c r="G16"/>
  <c r="H16"/>
  <c r="G17"/>
  <c r="H17"/>
  <c r="G18"/>
  <c r="H18"/>
  <c r="G19"/>
  <c r="H19"/>
  <c r="G20"/>
  <c r="H20"/>
  <c r="G21"/>
  <c r="H21"/>
  <c r="G22"/>
  <c r="H22"/>
  <c r="G23"/>
  <c r="H23"/>
  <c r="G24"/>
  <c r="H24"/>
  <c r="G25"/>
  <c r="H25"/>
  <c r="G26"/>
  <c r="H26"/>
  <c r="G27"/>
  <c r="H27"/>
  <c r="G28"/>
  <c r="H28"/>
  <c r="G29"/>
  <c r="H29"/>
  <c r="G30"/>
  <c r="H30"/>
  <c r="G31"/>
  <c r="H31"/>
  <c r="H11"/>
  <c r="G11"/>
  <c r="K12"/>
  <c r="L12"/>
  <c r="K13"/>
  <c r="L13"/>
  <c r="K14"/>
  <c r="L14"/>
  <c r="K15"/>
  <c r="L15"/>
  <c r="K16"/>
  <c r="L16"/>
  <c r="K17"/>
  <c r="L17"/>
  <c r="K18"/>
  <c r="L18"/>
  <c r="K19"/>
  <c r="L19"/>
  <c r="K20"/>
  <c r="L20"/>
  <c r="K21"/>
  <c r="L21"/>
  <c r="K22"/>
  <c r="L22"/>
  <c r="K23"/>
  <c r="L23"/>
  <c r="K24"/>
  <c r="L24"/>
  <c r="K25"/>
  <c r="L25"/>
  <c r="K26"/>
  <c r="L26"/>
  <c r="K27"/>
  <c r="L27"/>
  <c r="K28"/>
  <c r="L28"/>
  <c r="K29"/>
  <c r="L29"/>
  <c r="K30"/>
  <c r="L30"/>
  <c r="K31"/>
  <c r="L31"/>
  <c r="L33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11"/>
  <c r="O12"/>
  <c r="P12"/>
  <c r="O13"/>
  <c r="P13"/>
  <c r="O14"/>
  <c r="P14"/>
  <c r="O15"/>
  <c r="P15"/>
  <c r="O16"/>
  <c r="P16"/>
  <c r="O17"/>
  <c r="P17"/>
  <c r="O18"/>
  <c r="P18"/>
  <c r="O19"/>
  <c r="P19"/>
  <c r="O20"/>
  <c r="P20"/>
  <c r="O21"/>
  <c r="P21"/>
  <c r="O22"/>
  <c r="P22"/>
  <c r="O23"/>
  <c r="P23"/>
  <c r="O24"/>
  <c r="P24"/>
  <c r="O25"/>
  <c r="P25"/>
  <c r="O26"/>
  <c r="P26"/>
  <c r="O27"/>
  <c r="P27"/>
  <c r="O28"/>
  <c r="P28"/>
  <c r="O29"/>
  <c r="P29"/>
  <c r="O30"/>
  <c r="P30"/>
  <c r="P11"/>
  <c r="O11"/>
  <c r="L11"/>
  <c r="K11"/>
  <c r="I12"/>
  <c r="J12"/>
  <c r="I13"/>
  <c r="J13"/>
  <c r="I14"/>
  <c r="J14"/>
  <c r="I15"/>
  <c r="J15"/>
  <c r="I16"/>
  <c r="J16"/>
  <c r="I17"/>
  <c r="J17"/>
  <c r="I18"/>
  <c r="J18"/>
  <c r="I19"/>
  <c r="J19"/>
  <c r="I20"/>
  <c r="J20"/>
  <c r="I21"/>
  <c r="J21"/>
  <c r="I22"/>
  <c r="J22"/>
  <c r="I23"/>
  <c r="J23"/>
  <c r="I24"/>
  <c r="J24"/>
  <c r="I25"/>
  <c r="J25"/>
  <c r="I26"/>
  <c r="J26"/>
  <c r="I27"/>
  <c r="J27"/>
  <c r="I28"/>
  <c r="J28"/>
  <c r="I29"/>
  <c r="J29"/>
  <c r="I30"/>
  <c r="J30"/>
  <c r="I31"/>
  <c r="J31"/>
  <c r="J33"/>
  <c r="J11"/>
  <c r="I11"/>
  <c r="G36" i="6"/>
  <c r="G36" i="8"/>
  <c r="G36" i="10"/>
  <c r="J35" i="11"/>
  <c r="P33" i="3" s="1"/>
  <c r="K33" i="11"/>
  <c r="L33" s="1"/>
  <c r="K32"/>
  <c r="L32" s="1"/>
  <c r="K31"/>
  <c r="L31" s="1"/>
  <c r="K30"/>
  <c r="L30" s="1"/>
  <c r="K29"/>
  <c r="L29" s="1"/>
  <c r="K28"/>
  <c r="L28" s="1"/>
  <c r="K27"/>
  <c r="L27" s="1"/>
  <c r="K26"/>
  <c r="L26" s="1"/>
  <c r="K25"/>
  <c r="L25" s="1"/>
  <c r="K24"/>
  <c r="L24" s="1"/>
  <c r="K23"/>
  <c r="L23" s="1"/>
  <c r="K22"/>
  <c r="L22" s="1"/>
  <c r="K21"/>
  <c r="L21" s="1"/>
  <c r="K20"/>
  <c r="L20" s="1"/>
  <c r="K19"/>
  <c r="L19" s="1"/>
  <c r="K18"/>
  <c r="L18" s="1"/>
  <c r="K17"/>
  <c r="L17" s="1"/>
  <c r="K16"/>
  <c r="L16" s="1"/>
  <c r="K15"/>
  <c r="L15" s="1"/>
  <c r="K14"/>
  <c r="L14" s="1"/>
  <c r="I34" i="10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H15" i="8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14"/>
  <c r="I14" s="1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AK117" i="4" l="1"/>
  <c r="AK118"/>
  <c r="AK119"/>
  <c r="AK120"/>
  <c r="AK121"/>
  <c r="AK122"/>
  <c r="AK123"/>
  <c r="AK124"/>
  <c r="AK125"/>
  <c r="AK126"/>
  <c r="AK127"/>
  <c r="AK128"/>
  <c r="AK129"/>
  <c r="AK130"/>
  <c r="AK131"/>
  <c r="AK132"/>
  <c r="AK133"/>
  <c r="AK134"/>
  <c r="AK135"/>
  <c r="AK116"/>
  <c r="AI136"/>
  <c r="AJ81" l="1"/>
  <c r="AJ80"/>
  <c r="AJ79"/>
  <c r="AJ78"/>
  <c r="AJ77"/>
  <c r="AJ76"/>
  <c r="AJ75"/>
  <c r="AJ74"/>
  <c r="AJ73"/>
  <c r="AJ72"/>
  <c r="AJ71"/>
  <c r="AJ70"/>
  <c r="AJ69"/>
  <c r="AJ68"/>
  <c r="AJ67"/>
  <c r="AJ66"/>
  <c r="AJ65"/>
  <c r="AJ64"/>
  <c r="AJ63"/>
  <c r="AJ62"/>
  <c r="AJ61"/>
  <c r="AP81"/>
  <c r="AP80"/>
  <c r="AP79"/>
  <c r="AP78"/>
  <c r="AP77"/>
  <c r="AP76"/>
  <c r="AP75"/>
  <c r="AP74"/>
  <c r="AP73"/>
  <c r="AP72"/>
  <c r="AP71"/>
  <c r="AP70"/>
  <c r="AP69"/>
  <c r="AP68"/>
  <c r="AP67"/>
  <c r="AP66"/>
  <c r="AP65"/>
  <c r="AP64"/>
  <c r="AP63"/>
  <c r="AP62"/>
  <c r="AP61"/>
  <c r="AN81"/>
  <c r="AN80"/>
  <c r="AN79"/>
  <c r="AN78"/>
  <c r="AN77"/>
  <c r="AN76"/>
  <c r="AN75"/>
  <c r="AN74"/>
  <c r="AN73"/>
  <c r="AN72"/>
  <c r="AN71"/>
  <c r="AN70"/>
  <c r="AN69"/>
  <c r="AN68"/>
  <c r="AN67"/>
  <c r="AN66"/>
  <c r="AN65"/>
  <c r="AN64"/>
  <c r="AN63"/>
  <c r="AN62"/>
  <c r="AN61"/>
  <c r="AH81"/>
  <c r="AH80"/>
  <c r="AH79"/>
  <c r="AH78"/>
  <c r="AH77"/>
  <c r="AH76"/>
  <c r="AH75"/>
  <c r="AH74"/>
  <c r="AH73"/>
  <c r="AH72"/>
  <c r="AH71"/>
  <c r="AH70"/>
  <c r="AH69"/>
  <c r="AH68"/>
  <c r="AH67"/>
  <c r="AH66"/>
  <c r="AH65"/>
  <c r="AH64"/>
  <c r="AH63"/>
  <c r="AH62"/>
  <c r="AH61"/>
  <c r="AM53"/>
  <c r="AM52"/>
  <c r="AM51"/>
  <c r="AM50"/>
  <c r="AM49"/>
  <c r="AM48"/>
  <c r="AM47"/>
  <c r="AM46"/>
  <c r="AM45"/>
  <c r="AM44"/>
  <c r="AM43"/>
  <c r="AM42"/>
  <c r="AM41"/>
  <c r="AM40"/>
  <c r="AM39"/>
  <c r="AM38"/>
  <c r="AM37"/>
  <c r="AM36"/>
  <c r="AM35"/>
  <c r="AM34"/>
  <c r="AM33"/>
  <c r="AH34"/>
  <c r="AH35"/>
  <c r="AH36"/>
  <c r="AH37"/>
  <c r="AH38"/>
  <c r="AH39"/>
  <c r="AH40"/>
  <c r="AH41"/>
  <c r="AH42"/>
  <c r="AH43"/>
  <c r="AH44"/>
  <c r="AH45"/>
  <c r="AH46"/>
  <c r="AH47"/>
  <c r="AH48"/>
  <c r="AH49"/>
  <c r="AH50"/>
  <c r="AH51"/>
  <c r="AH52"/>
  <c r="AH53"/>
  <c r="AH33"/>
  <c r="AN25"/>
  <c r="AN24"/>
  <c r="AN23"/>
  <c r="AN22"/>
  <c r="AN21"/>
  <c r="AN20"/>
  <c r="AN19"/>
  <c r="AN18"/>
  <c r="AN17"/>
  <c r="AN16"/>
  <c r="AN15"/>
  <c r="AN14"/>
  <c r="AN13"/>
  <c r="AN12"/>
  <c r="AN11"/>
  <c r="AN10"/>
  <c r="AN9"/>
  <c r="AN8"/>
  <c r="AN7"/>
  <c r="AN6"/>
  <c r="AN5"/>
  <c r="AI6"/>
  <c r="AI7"/>
  <c r="AI8"/>
  <c r="AI9"/>
  <c r="AI10"/>
  <c r="AI11"/>
  <c r="AI12"/>
  <c r="AI13"/>
  <c r="AI14"/>
  <c r="AI15"/>
  <c r="AI16"/>
  <c r="AI17"/>
  <c r="AI18"/>
  <c r="AI19"/>
  <c r="AI20"/>
  <c r="AI21"/>
  <c r="AI22"/>
  <c r="AI23"/>
  <c r="AI24"/>
  <c r="AI25"/>
  <c r="AI5"/>
  <c r="AH5"/>
  <c r="AH6"/>
  <c r="AH7"/>
  <c r="AH8"/>
  <c r="AH9"/>
  <c r="AH10"/>
  <c r="AH11"/>
  <c r="AH12"/>
  <c r="AH13"/>
  <c r="AH14"/>
  <c r="AH15"/>
  <c r="AH16"/>
  <c r="AH17"/>
  <c r="AH18"/>
  <c r="AH19"/>
  <c r="AH20"/>
  <c r="AH21"/>
  <c r="AH22"/>
  <c r="AH23"/>
  <c r="AH24"/>
  <c r="AH25"/>
  <c r="AB6"/>
  <c r="AB7"/>
  <c r="AB8"/>
  <c r="AB9"/>
  <c r="AB10"/>
  <c r="AB11"/>
  <c r="AB12"/>
  <c r="AB13"/>
  <c r="AB14"/>
  <c r="AB15"/>
  <c r="AB16"/>
  <c r="AB17"/>
  <c r="AB18"/>
  <c r="AB19"/>
  <c r="AB20"/>
  <c r="AB21"/>
  <c r="AB22"/>
  <c r="AB23"/>
  <c r="AB24"/>
  <c r="AB25"/>
  <c r="AB5"/>
  <c r="H15" i="6" l="1"/>
  <c r="I15" s="1"/>
  <c r="AC6" i="4" s="1"/>
  <c r="H16" i="6"/>
  <c r="I16" s="1"/>
  <c r="AC7" i="4" s="1"/>
  <c r="H17" i="6"/>
  <c r="I17" s="1"/>
  <c r="AC8" i="4" s="1"/>
  <c r="H18" i="6"/>
  <c r="I18" s="1"/>
  <c r="AC9" i="4" s="1"/>
  <c r="H19" i="6"/>
  <c r="I19" s="1"/>
  <c r="AC10" i="4" s="1"/>
  <c r="H20" i="6"/>
  <c r="I20" s="1"/>
  <c r="AC11" i="4" s="1"/>
  <c r="H21" i="6"/>
  <c r="I21" s="1"/>
  <c r="AC12" i="4" s="1"/>
  <c r="H22" i="6"/>
  <c r="I22" s="1"/>
  <c r="AC13" i="4" s="1"/>
  <c r="H23" i="6"/>
  <c r="I23" s="1"/>
  <c r="AC14" i="4" s="1"/>
  <c r="H24" i="6"/>
  <c r="I24" s="1"/>
  <c r="AC15" i="4" s="1"/>
  <c r="H25" i="6"/>
  <c r="I25" s="1"/>
  <c r="AC16" i="4" s="1"/>
  <c r="H26" i="6"/>
  <c r="I26" s="1"/>
  <c r="AC17" i="4" s="1"/>
  <c r="H27" i="6"/>
  <c r="I27" s="1"/>
  <c r="AC18" i="4" s="1"/>
  <c r="H28" i="6"/>
  <c r="I28" s="1"/>
  <c r="AC19" i="4" s="1"/>
  <c r="H29" i="6"/>
  <c r="I29" s="1"/>
  <c r="AC20" i="4" s="1"/>
  <c r="H30" i="6"/>
  <c r="I30" s="1"/>
  <c r="AC21" i="4" s="1"/>
  <c r="H31" i="6"/>
  <c r="I31" s="1"/>
  <c r="AC22" i="4" s="1"/>
  <c r="H32" i="6"/>
  <c r="I32" s="1"/>
  <c r="AC23" i="4" s="1"/>
  <c r="H33" i="6"/>
  <c r="I33" s="1"/>
  <c r="AC24" i="4" s="1"/>
  <c r="H34" i="6"/>
  <c r="I34" s="1"/>
  <c r="AC25" i="4" s="1"/>
  <c r="H14" i="6"/>
  <c r="I14" s="1"/>
  <c r="AC5" i="4" s="1"/>
  <c r="W6" l="1"/>
  <c r="W5" s="1"/>
  <c r="Q6"/>
  <c r="S6" s="1"/>
  <c r="T6" s="1"/>
  <c r="X9" s="1"/>
  <c r="Q7"/>
  <c r="Q8"/>
  <c r="S8" s="1"/>
  <c r="T8" s="1"/>
  <c r="X14" s="1"/>
  <c r="Q9"/>
  <c r="Q10"/>
  <c r="S10" s="1"/>
  <c r="T10" s="1"/>
  <c r="X18" s="1"/>
  <c r="Q11"/>
  <c r="Q12"/>
  <c r="S12" s="1"/>
  <c r="T12" s="1"/>
  <c r="Q13"/>
  <c r="Q5"/>
  <c r="S5" s="1"/>
  <c r="T5" s="1"/>
  <c r="X7" s="1"/>
  <c r="S7"/>
  <c r="T7"/>
  <c r="S9"/>
  <c r="T9"/>
  <c r="X16" s="1"/>
  <c r="S11"/>
  <c r="T11"/>
  <c r="S13"/>
  <c r="T13"/>
  <c r="F6"/>
  <c r="F8"/>
  <c r="F10"/>
  <c r="F12"/>
  <c r="F5"/>
  <c r="B22"/>
  <c r="B23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W8"/>
  <c r="W9"/>
  <c r="W10" s="1"/>
  <c r="W11" s="1"/>
  <c r="W12" s="1"/>
  <c r="W13" s="1"/>
  <c r="W14" s="1"/>
  <c r="W15" s="1"/>
  <c r="W16" s="1"/>
  <c r="W17" s="1"/>
  <c r="W18" s="1"/>
  <c r="W19" s="1"/>
  <c r="W20" s="1"/>
  <c r="W21" s="1"/>
  <c r="W22" s="1"/>
  <c r="W23" s="1"/>
  <c r="W24" s="1"/>
  <c r="W25" s="1"/>
  <c r="B18" i="5"/>
  <c r="C18"/>
  <c r="D18"/>
  <c r="I10"/>
  <c r="I11"/>
  <c r="I12"/>
  <c r="I13"/>
  <c r="I14"/>
  <c r="I15"/>
  <c r="I16"/>
  <c r="I17"/>
  <c r="I18"/>
  <c r="I19"/>
  <c r="I9"/>
  <c r="H10"/>
  <c r="H11"/>
  <c r="H12"/>
  <c r="H13"/>
  <c r="H14"/>
  <c r="H15"/>
  <c r="H16"/>
  <c r="H17"/>
  <c r="H18"/>
  <c r="H19"/>
  <c r="H9"/>
  <c r="G10"/>
  <c r="G11"/>
  <c r="G12"/>
  <c r="G13"/>
  <c r="G14"/>
  <c r="G15"/>
  <c r="G16"/>
  <c r="G17"/>
  <c r="G18"/>
  <c r="G19"/>
  <c r="G9"/>
  <c r="G7"/>
  <c r="B7"/>
  <c r="H4"/>
  <c r="H5"/>
  <c r="D10"/>
  <c r="D11"/>
  <c r="D12"/>
  <c r="D13"/>
  <c r="D14"/>
  <c r="D15"/>
  <c r="D16"/>
  <c r="D17"/>
  <c r="D19"/>
  <c r="D20"/>
  <c r="D9"/>
  <c r="C10"/>
  <c r="C11"/>
  <c r="C12"/>
  <c r="C13"/>
  <c r="C14"/>
  <c r="C15"/>
  <c r="C16"/>
  <c r="C17"/>
  <c r="C19"/>
  <c r="C20"/>
  <c r="C9"/>
  <c r="B10"/>
  <c r="B11"/>
  <c r="B12"/>
  <c r="B13"/>
  <c r="B14"/>
  <c r="B15"/>
  <c r="B16"/>
  <c r="B17"/>
  <c r="B19"/>
  <c r="B20"/>
  <c r="B9"/>
  <c r="C4"/>
  <c r="C5"/>
  <c r="L13" i="4"/>
  <c r="M13" s="1"/>
  <c r="L12"/>
  <c r="M12" s="1"/>
  <c r="L11"/>
  <c r="M11" s="1"/>
  <c r="L10"/>
  <c r="M10" s="1"/>
  <c r="L9"/>
  <c r="M9" s="1"/>
  <c r="L8"/>
  <c r="M8" s="1"/>
  <c r="L7"/>
  <c r="M7" s="1"/>
  <c r="L6"/>
  <c r="M6" s="1"/>
  <c r="L5"/>
  <c r="M5" s="1"/>
  <c r="E6"/>
  <c r="E7"/>
  <c r="F7" s="1"/>
  <c r="E8"/>
  <c r="E9"/>
  <c r="F9" s="1"/>
  <c r="E10"/>
  <c r="E11"/>
  <c r="F11" s="1"/>
  <c r="E12"/>
  <c r="E13"/>
  <c r="F13" s="1"/>
  <c r="E5"/>
  <c r="E64" i="1"/>
  <c r="D64"/>
  <c r="C64"/>
  <c r="F63"/>
  <c r="E63"/>
  <c r="D63"/>
  <c r="C63"/>
  <c r="F62"/>
  <c r="E62"/>
  <c r="D62"/>
  <c r="C62"/>
  <c r="F61"/>
  <c r="E61"/>
  <c r="D61"/>
  <c r="C61"/>
  <c r="F60"/>
  <c r="E60"/>
  <c r="D60"/>
  <c r="C60"/>
  <c r="F59"/>
  <c r="E59"/>
  <c r="D59"/>
  <c r="C59"/>
  <c r="F58"/>
  <c r="E58"/>
  <c r="D58"/>
  <c r="C58"/>
  <c r="F57"/>
  <c r="E57"/>
  <c r="D57"/>
  <c r="C57"/>
  <c r="E56"/>
  <c r="D56"/>
  <c r="C56"/>
  <c r="E55"/>
  <c r="D55"/>
  <c r="C55"/>
  <c r="E54"/>
  <c r="D54"/>
  <c r="C54"/>
  <c r="E53"/>
  <c r="D53"/>
  <c r="C53"/>
  <c r="E52"/>
  <c r="D52"/>
  <c r="C52"/>
  <c r="F51"/>
  <c r="E51"/>
  <c r="D51"/>
  <c r="C51"/>
  <c r="F50"/>
  <c r="E50"/>
  <c r="D50"/>
  <c r="C50"/>
  <c r="F37"/>
  <c r="E37"/>
  <c r="C37"/>
  <c r="D37"/>
  <c r="F38"/>
  <c r="E38"/>
  <c r="C38"/>
  <c r="D38"/>
  <c r="F39"/>
  <c r="E39"/>
  <c r="C39"/>
  <c r="D39"/>
  <c r="F40"/>
  <c r="E40"/>
  <c r="C40"/>
  <c r="D40"/>
  <c r="F41"/>
  <c r="E41"/>
  <c r="C41"/>
  <c r="D41"/>
  <c r="F42"/>
  <c r="E42"/>
  <c r="C42"/>
  <c r="D42"/>
  <c r="F43"/>
  <c r="E43"/>
  <c r="C43"/>
  <c r="D43"/>
  <c r="F44"/>
  <c r="E44"/>
  <c r="C44"/>
  <c r="D44"/>
  <c r="F45"/>
  <c r="E45"/>
  <c r="C45"/>
  <c r="D45"/>
  <c r="F46"/>
  <c r="E46"/>
  <c r="C46"/>
  <c r="D46"/>
  <c r="F36"/>
  <c r="E36"/>
  <c r="D36"/>
  <c r="C36"/>
  <c r="F35"/>
  <c r="E35"/>
  <c r="D35"/>
  <c r="C35"/>
  <c r="F34"/>
  <c r="E34"/>
  <c r="D34"/>
  <c r="C34"/>
  <c r="F33"/>
  <c r="E33"/>
  <c r="D33"/>
  <c r="C33"/>
  <c r="F32"/>
  <c r="E32"/>
  <c r="D32"/>
  <c r="C32"/>
  <c r="F31"/>
  <c r="E31"/>
  <c r="D31"/>
  <c r="C31"/>
  <c r="F30"/>
  <c r="E30"/>
  <c r="D30"/>
  <c r="C30"/>
  <c r="F29"/>
  <c r="E29"/>
  <c r="D29"/>
  <c r="C29"/>
  <c r="F28"/>
  <c r="E28"/>
  <c r="D28"/>
  <c r="C28"/>
  <c r="F5"/>
  <c r="E5"/>
  <c r="D5"/>
  <c r="F6"/>
  <c r="E6"/>
  <c r="D6"/>
  <c r="F7"/>
  <c r="E7"/>
  <c r="D7"/>
  <c r="F8"/>
  <c r="E8"/>
  <c r="D8"/>
  <c r="F9"/>
  <c r="E9"/>
  <c r="D9"/>
  <c r="F10"/>
  <c r="E10"/>
  <c r="D10"/>
  <c r="F11"/>
  <c r="E11"/>
  <c r="D11"/>
  <c r="F12"/>
  <c r="E12"/>
  <c r="D12"/>
  <c r="C5"/>
  <c r="C6"/>
  <c r="C7"/>
  <c r="C8"/>
  <c r="C9"/>
  <c r="C10"/>
  <c r="C11"/>
  <c r="C12"/>
  <c r="F4"/>
  <c r="E4"/>
  <c r="D4"/>
  <c r="C4"/>
  <c r="F24"/>
  <c r="F23"/>
  <c r="F22"/>
  <c r="F21"/>
  <c r="F20"/>
  <c r="F19"/>
</calcChain>
</file>

<file path=xl/sharedStrings.xml><?xml version="1.0" encoding="utf-8"?>
<sst xmlns="http://schemas.openxmlformats.org/spreadsheetml/2006/main" count="543" uniqueCount="130">
  <si>
    <t>EPIC (EPIC-IM Report)</t>
  </si>
  <si>
    <t>Planck-HFI (Planck 2013, IX)</t>
  </si>
  <si>
    <t>nu low</t>
  </si>
  <si>
    <t>nu high</t>
  </si>
  <si>
    <t>delta nu</t>
  </si>
  <si>
    <t>del nu/nu</t>
  </si>
  <si>
    <t>nu</t>
  </si>
  <si>
    <t>NET_T_array</t>
  </si>
  <si>
    <t>CORE (Core Proposal)</t>
  </si>
  <si>
    <t>LiteBIRD (from Adrian)</t>
  </si>
  <si>
    <t>Band#</t>
  </si>
  <si>
    <t>del center</t>
  </si>
  <si>
    <t>GHz</t>
  </si>
  <si>
    <t>nu_low</t>
  </si>
  <si>
    <t>nu_high</t>
  </si>
  <si>
    <t>del nu</t>
  </si>
  <si>
    <t>nu1</t>
  </si>
  <si>
    <t>CMBP</t>
  </si>
  <si>
    <t>Pixel</t>
  </si>
  <si>
    <t>band</t>
  </si>
  <si>
    <t>A</t>
  </si>
  <si>
    <t>B</t>
  </si>
  <si>
    <t>C</t>
  </si>
  <si>
    <t>D</t>
  </si>
  <si>
    <t>E</t>
  </si>
  <si>
    <t>F</t>
  </si>
  <si>
    <t>G</t>
  </si>
  <si>
    <t>CORE</t>
  </si>
  <si>
    <t>LB (40, 0.3)</t>
  </si>
  <si>
    <t>SO/S4 (30, 0.3)</t>
  </si>
  <si>
    <t>LB (50, 0.3)</t>
  </si>
  <si>
    <t>LB (60, 0.23)</t>
  </si>
  <si>
    <t>LB (78, 0.28)</t>
  </si>
  <si>
    <t>LB (89, 0.23)</t>
  </si>
  <si>
    <t>CO(220, 0.3)</t>
  </si>
  <si>
    <t>CO (390, 0.3)</t>
  </si>
  <si>
    <t>CO (130, 0.3)</t>
  </si>
  <si>
    <t>SO/S4 (20, 0.3)</t>
  </si>
  <si>
    <t>LB (100, 0.23)</t>
  </si>
  <si>
    <t>CO (160, 0.3)</t>
  </si>
  <si>
    <t>CO (195, 0.3)</t>
  </si>
  <si>
    <t>LB (280, 0.3)</t>
  </si>
  <si>
    <t>CO (340, 0.3)</t>
  </si>
  <si>
    <t>CO (450, 0.3)</t>
  </si>
  <si>
    <t>CO (520, 0.3)</t>
  </si>
  <si>
    <t>CCAT (669, 0.11)</t>
  </si>
  <si>
    <t>CCAT (862, 0.11)</t>
  </si>
  <si>
    <t>beam</t>
  </si>
  <si>
    <t>Nbol</t>
  </si>
  <si>
    <t>NET</t>
  </si>
  <si>
    <t>Bolo</t>
  </si>
  <si>
    <t>Band</t>
  </si>
  <si>
    <t>uK-arcmin</t>
  </si>
  <si>
    <t xml:space="preserve">f </t>
  </si>
  <si>
    <t>theta 30</t>
  </si>
  <si>
    <t>theta 90</t>
  </si>
  <si>
    <t>theta 150</t>
  </si>
  <si>
    <t>d</t>
  </si>
  <si>
    <t>cm</t>
  </si>
  <si>
    <t>coeff</t>
  </si>
  <si>
    <t>EPIC-IM</t>
  </si>
  <si>
    <t>FWHM</t>
  </si>
  <si>
    <t>mirror fill = 0.55</t>
  </si>
  <si>
    <t>assumptions</t>
  </si>
  <si>
    <t>40 K</t>
  </si>
  <si>
    <t>4 K</t>
  </si>
  <si>
    <t>30 K</t>
  </si>
  <si>
    <t>EPIC-IM Full Focal Plane</t>
  </si>
  <si>
    <t>PolWeight</t>
  </si>
  <si>
    <t>EPIC IM (4 year)</t>
  </si>
  <si>
    <t>T_miss</t>
  </si>
  <si>
    <t>years</t>
  </si>
  <si>
    <t>(arcmin)</t>
  </si>
  <si>
    <t>uk*arcmin</t>
  </si>
  <si>
    <t>Initial NERSC Band</t>
  </si>
  <si>
    <t>(GHz)</t>
  </si>
  <si>
    <t>(uk*arcmin)</t>
  </si>
  <si>
    <t>H</t>
  </si>
  <si>
    <t>I</t>
  </si>
  <si>
    <t>F/1.5</t>
  </si>
  <si>
    <t>Pixel type</t>
  </si>
  <si>
    <t># detectors</t>
  </si>
  <si>
    <t>(dB)</t>
  </si>
  <si>
    <t>(uK rt(sec))</t>
  </si>
  <si>
    <t>(uK arcmin)</t>
  </si>
  <si>
    <t>Edge taper</t>
  </si>
  <si>
    <t>Detector NET</t>
  </si>
  <si>
    <t>Arrary NET</t>
  </si>
  <si>
    <t>Pol weight</t>
  </si>
  <si>
    <t>Observing time:</t>
  </si>
  <si>
    <t>yrs</t>
  </si>
  <si>
    <t>Open Dragone Baseline</t>
  </si>
  <si>
    <t>CMBP 30 K (V2.4)</t>
  </si>
  <si>
    <t>Notes:</t>
  </si>
  <si>
    <t>4K stop</t>
  </si>
  <si>
    <t>4K secondary</t>
  </si>
  <si>
    <t>30K primary</t>
  </si>
  <si>
    <t>Correlation added</t>
  </si>
  <si>
    <t>Open Dragone Baseline 10 dB at mid band</t>
  </si>
  <si>
    <t>Open Dragone V3D, 10 dB lowest band</t>
  </si>
  <si>
    <t>more at low nu.  Need to optimize</t>
  </si>
  <si>
    <t>Open Dragone baseline coma corrected (hills), 10 dB lowest band</t>
  </si>
  <si>
    <t>Cross Dragone, f2.5, 120cm, 18 dB lowest band</t>
  </si>
  <si>
    <t>bolo#</t>
  </si>
  <si>
    <t>Open Dragone V3D coma corrected, 10 dB lowest band</t>
  </si>
  <si>
    <t>Open Dragone V3D coma corrected, 10 dB mid band</t>
  </si>
  <si>
    <t>CorrPol</t>
  </si>
  <si>
    <t>50cm, 30K</t>
  </si>
  <si>
    <t>50cm, 4K</t>
  </si>
  <si>
    <t>Open, V3D, coma</t>
  </si>
  <si>
    <t>20 bands, no overlap</t>
  </si>
  <si>
    <t>fwhm</t>
  </si>
  <si>
    <t>n_bolo</t>
  </si>
  <si>
    <t>mid-band pixels</t>
  </si>
  <si>
    <t>CorrPolWeight</t>
  </si>
  <si>
    <t>F/1.42</t>
  </si>
  <si>
    <t>Noise calculated for Open Dragone, baseline, V2.5</t>
  </si>
  <si>
    <t>Noise calculated for Open Dragone, V3D, Optimized mirrors, 10 db at lowest band of pixel</t>
  </si>
  <si>
    <t>mirror shapes optimized in Code V</t>
  </si>
  <si>
    <t>correlated noise included</t>
  </si>
  <si>
    <r>
      <t xml:space="preserve">pixel size set to make edge taper 10 dB for </t>
    </r>
    <r>
      <rPr>
        <b/>
        <sz val="12"/>
        <color theme="1"/>
        <rFont val="Calibri"/>
        <family val="2"/>
        <scheme val="minor"/>
      </rPr>
      <t>middle</t>
    </r>
    <r>
      <rPr>
        <sz val="12"/>
        <color theme="1"/>
        <rFont val="Calibri"/>
        <family val="2"/>
        <scheme val="minor"/>
      </rPr>
      <t xml:space="preserve"> band</t>
    </r>
  </si>
  <si>
    <r>
      <t xml:space="preserve">pixel size set to make edge taper 10 dB for </t>
    </r>
    <r>
      <rPr>
        <b/>
        <sz val="12"/>
        <color theme="1"/>
        <rFont val="Calibri"/>
        <family val="2"/>
        <scheme val="minor"/>
      </rPr>
      <t>lowest</t>
    </r>
    <r>
      <rPr>
        <sz val="12"/>
        <color theme="1"/>
        <rFont val="Calibri"/>
        <family val="2"/>
        <scheme val="minor"/>
      </rPr>
      <t xml:space="preserve"> band</t>
    </r>
  </si>
  <si>
    <t>New band layout, so bands do not overlap and bandwidth of each pixel is minimized.</t>
  </si>
  <si>
    <t># bolos</t>
  </si>
  <si>
    <t>Open Dragone, V3D optics, optimized mirrors</t>
  </si>
  <si>
    <t>Case 1</t>
  </si>
  <si>
    <t>Case 2</t>
  </si>
  <si>
    <t>Case 3</t>
  </si>
  <si>
    <t>V2.5 Baseline</t>
  </si>
  <si>
    <t>Case 4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</si>
</sst>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0.0"/>
    <numFmt numFmtId="165" formatCode="_(* #,##0.0000000_);_(* \(#,##0.0000000\);_(* &quot;-&quot;??_);_(@_)"/>
    <numFmt numFmtId="166" formatCode="_(* #,##0.0_);_(* \(#,##0.0\);_(* &quot;-&quot;??_);_(@_)"/>
  </numFmts>
  <fonts count="7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B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auto="1"/>
      </top>
      <bottom style="thin">
        <color theme="0" tint="-0.24997711111789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</borders>
  <cellStyleXfs count="21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78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5" xfId="0" applyBorder="1"/>
    <xf numFmtId="164" fontId="0" fillId="0" borderId="5" xfId="0" applyNumberFormat="1" applyBorder="1"/>
    <xf numFmtId="164" fontId="0" fillId="0" borderId="0" xfId="0" applyNumberFormat="1" applyBorder="1"/>
    <xf numFmtId="164" fontId="0" fillId="0" borderId="2" xfId="0" applyNumberFormat="1" applyBorder="1"/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0" fillId="0" borderId="0" xfId="0" applyNumberFormat="1"/>
    <xf numFmtId="164" fontId="4" fillId="0" borderId="0" xfId="0" applyNumberFormat="1" applyFont="1"/>
    <xf numFmtId="164" fontId="5" fillId="0" borderId="0" xfId="0" applyNumberFormat="1" applyFont="1"/>
    <xf numFmtId="0" fontId="3" fillId="0" borderId="0" xfId="0" applyFont="1" applyAlignment="1"/>
    <xf numFmtId="1" fontId="0" fillId="0" borderId="0" xfId="0" applyNumberFormat="1"/>
    <xf numFmtId="0" fontId="4" fillId="0" borderId="0" xfId="0" applyFont="1"/>
    <xf numFmtId="0" fontId="0" fillId="0" borderId="6" xfId="0" applyFont="1" applyFill="1" applyBorder="1"/>
    <xf numFmtId="0" fontId="0" fillId="0" borderId="6" xfId="0" applyFill="1" applyBorder="1"/>
    <xf numFmtId="0" fontId="3" fillId="0" borderId="0" xfId="0" applyFont="1" applyAlignment="1">
      <alignment horizontal="center"/>
    </xf>
    <xf numFmtId="1" fontId="0" fillId="2" borderId="7" xfId="0" applyNumberFormat="1" applyFont="1" applyFill="1" applyBorder="1" applyAlignment="1">
      <alignment horizontal="right"/>
    </xf>
    <xf numFmtId="0" fontId="0" fillId="0" borderId="5" xfId="0" applyFill="1" applyBorder="1"/>
    <xf numFmtId="164" fontId="0" fillId="0" borderId="5" xfId="0" applyNumberFormat="1" applyFill="1" applyBorder="1"/>
    <xf numFmtId="0" fontId="0" fillId="0" borderId="8" xfId="0" applyBorder="1" applyAlignment="1">
      <alignment horizontal="center"/>
    </xf>
    <xf numFmtId="0" fontId="0" fillId="0" borderId="8" xfId="0" applyFill="1" applyBorder="1"/>
    <xf numFmtId="164" fontId="0" fillId="0" borderId="8" xfId="0" applyNumberFormat="1" applyFill="1" applyBorder="1"/>
    <xf numFmtId="1" fontId="0" fillId="0" borderId="6" xfId="0" applyNumberFormat="1" applyFill="1" applyBorder="1"/>
    <xf numFmtId="164" fontId="0" fillId="0" borderId="6" xfId="0" applyNumberFormat="1" applyFill="1" applyBorder="1"/>
    <xf numFmtId="0" fontId="0" fillId="0" borderId="0" xfId="0" applyFill="1" applyBorder="1" applyAlignment="1">
      <alignment horizontal="right"/>
    </xf>
    <xf numFmtId="0" fontId="0" fillId="0" borderId="0" xfId="0" applyFill="1" applyBorder="1"/>
    <xf numFmtId="15" fontId="0" fillId="0" borderId="0" xfId="0" applyNumberFormat="1" applyFill="1" applyBorder="1" applyAlignment="1">
      <alignment horizontal="right"/>
    </xf>
    <xf numFmtId="0" fontId="3" fillId="0" borderId="0" xfId="0" applyFont="1" applyFill="1" applyBorder="1"/>
    <xf numFmtId="164" fontId="3" fillId="0" borderId="6" xfId="0" applyNumberFormat="1" applyFont="1" applyFill="1" applyBorder="1" applyAlignment="1">
      <alignment horizontal="center"/>
    </xf>
    <xf numFmtId="164" fontId="0" fillId="0" borderId="6" xfId="0" applyNumberFormat="1" applyFill="1" applyBorder="1" applyAlignment="1">
      <alignment horizontal="right"/>
    </xf>
    <xf numFmtId="11" fontId="0" fillId="0" borderId="0" xfId="0" applyNumberFormat="1"/>
    <xf numFmtId="43" fontId="0" fillId="0" borderId="0" xfId="213" applyFont="1"/>
    <xf numFmtId="43" fontId="0" fillId="0" borderId="0" xfId="0" applyNumberFormat="1"/>
    <xf numFmtId="165" fontId="0" fillId="0" borderId="0" xfId="0" applyNumberFormat="1"/>
    <xf numFmtId="0" fontId="3" fillId="0" borderId="0" xfId="0" applyFont="1" applyAlignment="1">
      <alignment horizontal="center"/>
    </xf>
    <xf numFmtId="11" fontId="3" fillId="0" borderId="0" xfId="0" applyNumberFormat="1" applyFont="1"/>
    <xf numFmtId="166" fontId="0" fillId="0" borderId="0" xfId="213" applyNumberFormat="1" applyFont="1"/>
    <xf numFmtId="166" fontId="0" fillId="0" borderId="0" xfId="0" applyNumberFormat="1"/>
    <xf numFmtId="164" fontId="0" fillId="2" borderId="7" xfId="0" applyNumberFormat="1" applyFont="1" applyFill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2" xfId="0" applyFill="1" applyBorder="1"/>
    <xf numFmtId="164" fontId="0" fillId="0" borderId="2" xfId="0" applyNumberFormat="1" applyFill="1" applyBorder="1"/>
    <xf numFmtId="0" fontId="0" fillId="3" borderId="6" xfId="0" applyFill="1" applyBorder="1"/>
    <xf numFmtId="0" fontId="0" fillId="3" borderId="6" xfId="0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1" fontId="0" fillId="3" borderId="6" xfId="0" applyNumberFormat="1" applyFill="1" applyBorder="1"/>
    <xf numFmtId="164" fontId="0" fillId="3" borderId="6" xfId="0" applyNumberFormat="1" applyFont="1" applyFill="1" applyBorder="1" applyAlignment="1">
      <alignment horizontal="right"/>
    </xf>
    <xf numFmtId="164" fontId="0" fillId="3" borderId="6" xfId="0" applyNumberFormat="1" applyFill="1" applyBorder="1"/>
    <xf numFmtId="164" fontId="3" fillId="3" borderId="6" xfId="0" applyNumberFormat="1" applyFont="1" applyFill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Fill="1" applyBorder="1"/>
    <xf numFmtId="0" fontId="0" fillId="0" borderId="0" xfId="0" applyBorder="1" applyAlignment="1">
      <alignment horizontal="center"/>
    </xf>
    <xf numFmtId="0" fontId="3" fillId="0" borderId="0" xfId="0" applyFont="1" applyBorder="1" applyAlignment="1"/>
    <xf numFmtId="0" fontId="0" fillId="3" borderId="9" xfId="0" applyFill="1" applyBorder="1"/>
    <xf numFmtId="0" fontId="3" fillId="3" borderId="13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164" fontId="0" fillId="3" borderId="10" xfId="0" applyNumberFormat="1" applyFill="1" applyBorder="1" applyAlignment="1">
      <alignment horizontal="center"/>
    </xf>
    <xf numFmtId="164" fontId="0" fillId="3" borderId="17" xfId="0" applyNumberFormat="1" applyFill="1" applyBorder="1" applyAlignment="1">
      <alignment horizontal="center"/>
    </xf>
    <xf numFmtId="164" fontId="3" fillId="3" borderId="13" xfId="0" applyNumberFormat="1" applyFont="1" applyFill="1" applyBorder="1" applyAlignment="1">
      <alignment horizontal="center"/>
    </xf>
    <xf numFmtId="164" fontId="3" fillId="3" borderId="14" xfId="0" applyNumberFormat="1" applyFont="1" applyFill="1" applyBorder="1" applyAlignment="1">
      <alignment horizontal="center"/>
    </xf>
    <xf numFmtId="164" fontId="3" fillId="3" borderId="15" xfId="0" applyNumberFormat="1" applyFont="1" applyFill="1" applyBorder="1" applyAlignment="1">
      <alignment horizontal="center"/>
    </xf>
    <xf numFmtId="164" fontId="3" fillId="3" borderId="11" xfId="0" applyNumberFormat="1" applyFont="1" applyFill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164" fontId="3" fillId="3" borderId="16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0" fillId="2" borderId="0" xfId="0" applyNumberFormat="1" applyFont="1" applyFill="1" applyBorder="1" applyAlignment="1">
      <alignment horizontal="right"/>
    </xf>
  </cellXfs>
  <cellStyles count="214">
    <cellStyle name="Comma" xfId="213" builtinId="3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Normal" xfId="0" builtinId="0"/>
  </cellStyles>
  <dxfs count="0"/>
  <tableStyles count="0" defaultTableStyle="TableStyleMedium9" defaultPivotStyle="PivotStyleMedium4"/>
  <colors>
    <mruColors>
      <color rgb="FFFFFFB9"/>
      <color rgb="FFFA8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Weights</a:t>
            </a:r>
          </a:p>
        </c:rich>
      </c:tx>
    </c:title>
    <c:plotArea>
      <c:layout>
        <c:manualLayout>
          <c:layoutTarget val="inner"/>
          <c:xMode val="edge"/>
          <c:yMode val="edge"/>
          <c:x val="0.17757130897929019"/>
          <c:y val="0.11979695431472102"/>
          <c:w val="0.74246072091527759"/>
          <c:h val="0.73057556257244505"/>
        </c:manualLayout>
      </c:layout>
      <c:scatterChart>
        <c:scatterStyle val="lineMarker"/>
        <c:ser>
          <c:idx val="0"/>
          <c:order val="0"/>
          <c:tx>
            <c:v>EPIC 30 K</c:v>
          </c:tx>
          <c:xVal>
            <c:numRef>
              <c:f>Weights!$H$5:$H$13</c:f>
              <c:numCache>
                <c:formatCode>General</c:formatCode>
                <c:ptCount val="9"/>
                <c:pt idx="0">
                  <c:v>30</c:v>
                </c:pt>
                <c:pt idx="1">
                  <c:v>45</c:v>
                </c:pt>
                <c:pt idx="2">
                  <c:v>70</c:v>
                </c:pt>
                <c:pt idx="3">
                  <c:v>100</c:v>
                </c:pt>
                <c:pt idx="4">
                  <c:v>150</c:v>
                </c:pt>
                <c:pt idx="5">
                  <c:v>220</c:v>
                </c:pt>
                <c:pt idx="6">
                  <c:v>340</c:v>
                </c:pt>
                <c:pt idx="7">
                  <c:v>500</c:v>
                </c:pt>
                <c:pt idx="8">
                  <c:v>850</c:v>
                </c:pt>
              </c:numCache>
            </c:numRef>
          </c:xVal>
          <c:yVal>
            <c:numRef>
              <c:f>Weights!$M$5:$M$13</c:f>
              <c:numCache>
                <c:formatCode>0.0</c:formatCode>
                <c:ptCount val="9"/>
                <c:pt idx="0">
                  <c:v>25.996639245935881</c:v>
                </c:pt>
                <c:pt idx="1">
                  <c:v>11.719339429620881</c:v>
                </c:pt>
                <c:pt idx="2">
                  <c:v>6.3835801987478913</c:v>
                </c:pt>
                <c:pt idx="3">
                  <c:v>4.00512375948969</c:v>
                </c:pt>
                <c:pt idx="4">
                  <c:v>3.8503015209624274</c:v>
                </c:pt>
                <c:pt idx="5">
                  <c:v>5.8493199810060048</c:v>
                </c:pt>
                <c:pt idx="6">
                  <c:v>30.816037491323684</c:v>
                </c:pt>
                <c:pt idx="7">
                  <c:v>221.47469757664567</c:v>
                </c:pt>
                <c:pt idx="8">
                  <c:v>36575.342538630888</c:v>
                </c:pt>
              </c:numCache>
            </c:numRef>
          </c:yVal>
        </c:ser>
        <c:ser>
          <c:idx val="1"/>
          <c:order val="1"/>
          <c:tx>
            <c:v>CORE 40 K</c:v>
          </c:tx>
          <c:xVal>
            <c:numRef>
              <c:f>Weights!$A$21:$A$39</c:f>
              <c:numCache>
                <c:formatCode>General</c:formatCode>
                <c:ptCount val="19"/>
                <c:pt idx="0">
                  <c:v>60</c:v>
                </c:pt>
                <c:pt idx="1">
                  <c:v>70</c:v>
                </c:pt>
                <c:pt idx="2">
                  <c:v>80</c:v>
                </c:pt>
                <c:pt idx="3">
                  <c:v>90</c:v>
                </c:pt>
                <c:pt idx="4">
                  <c:v>100</c:v>
                </c:pt>
                <c:pt idx="5">
                  <c:v>115</c:v>
                </c:pt>
                <c:pt idx="6">
                  <c:v>130</c:v>
                </c:pt>
                <c:pt idx="7">
                  <c:v>145</c:v>
                </c:pt>
                <c:pt idx="8">
                  <c:v>160</c:v>
                </c:pt>
                <c:pt idx="9">
                  <c:v>175</c:v>
                </c:pt>
                <c:pt idx="10">
                  <c:v>195</c:v>
                </c:pt>
                <c:pt idx="11">
                  <c:v>220</c:v>
                </c:pt>
                <c:pt idx="12">
                  <c:v>255</c:v>
                </c:pt>
                <c:pt idx="13">
                  <c:v>295</c:v>
                </c:pt>
                <c:pt idx="14">
                  <c:v>340</c:v>
                </c:pt>
                <c:pt idx="15">
                  <c:v>390</c:v>
                </c:pt>
                <c:pt idx="16">
                  <c:v>450</c:v>
                </c:pt>
                <c:pt idx="17">
                  <c:v>520</c:v>
                </c:pt>
                <c:pt idx="18">
                  <c:v>600</c:v>
                </c:pt>
              </c:numCache>
            </c:numRef>
          </c:xVal>
          <c:yVal>
            <c:numRef>
              <c:f>Weights!$F$21:$F$39</c:f>
              <c:numCache>
                <c:formatCode>General</c:formatCode>
                <c:ptCount val="19"/>
                <c:pt idx="0">
                  <c:v>10.6</c:v>
                </c:pt>
                <c:pt idx="1">
                  <c:v>10</c:v>
                </c:pt>
                <c:pt idx="2">
                  <c:v>9.6</c:v>
                </c:pt>
                <c:pt idx="3">
                  <c:v>7.3</c:v>
                </c:pt>
                <c:pt idx="4">
                  <c:v>7.1</c:v>
                </c:pt>
                <c:pt idx="5">
                  <c:v>7</c:v>
                </c:pt>
                <c:pt idx="6">
                  <c:v>5.5</c:v>
                </c:pt>
                <c:pt idx="7">
                  <c:v>5.0999999999999996</c:v>
                </c:pt>
                <c:pt idx="8">
                  <c:v>5.2</c:v>
                </c:pt>
                <c:pt idx="9">
                  <c:v>5.0999999999999996</c:v>
                </c:pt>
                <c:pt idx="10">
                  <c:v>4.9000000000000004</c:v>
                </c:pt>
                <c:pt idx="11">
                  <c:v>5.4</c:v>
                </c:pt>
                <c:pt idx="12">
                  <c:v>7.9</c:v>
                </c:pt>
                <c:pt idx="13">
                  <c:v>10.5</c:v>
                </c:pt>
                <c:pt idx="14">
                  <c:v>15.7</c:v>
                </c:pt>
                <c:pt idx="15">
                  <c:v>31.1</c:v>
                </c:pt>
                <c:pt idx="16">
                  <c:v>64.900000000000006</c:v>
                </c:pt>
                <c:pt idx="17">
                  <c:v>164.8</c:v>
                </c:pt>
                <c:pt idx="18">
                  <c:v>506.7</c:v>
                </c:pt>
              </c:numCache>
            </c:numRef>
          </c:yVal>
        </c:ser>
        <c:ser>
          <c:idx val="2"/>
          <c:order val="2"/>
          <c:tx>
            <c:v>EPIC 4 K</c:v>
          </c:tx>
          <c:xVal>
            <c:numRef>
              <c:f>Weights!$A$5:$A$13</c:f>
              <c:numCache>
                <c:formatCode>General</c:formatCode>
                <c:ptCount val="9"/>
                <c:pt idx="0">
                  <c:v>30</c:v>
                </c:pt>
                <c:pt idx="1">
                  <c:v>45</c:v>
                </c:pt>
                <c:pt idx="2">
                  <c:v>70</c:v>
                </c:pt>
                <c:pt idx="3">
                  <c:v>100</c:v>
                </c:pt>
                <c:pt idx="4">
                  <c:v>150</c:v>
                </c:pt>
                <c:pt idx="5">
                  <c:v>220</c:v>
                </c:pt>
                <c:pt idx="6">
                  <c:v>340</c:v>
                </c:pt>
                <c:pt idx="7">
                  <c:v>500</c:v>
                </c:pt>
                <c:pt idx="8">
                  <c:v>850</c:v>
                </c:pt>
              </c:numCache>
            </c:numRef>
          </c:xVal>
          <c:yVal>
            <c:numRef>
              <c:f>Weights!$F$5:$F$13</c:f>
              <c:numCache>
                <c:formatCode>0.0</c:formatCode>
                <c:ptCount val="9"/>
                <c:pt idx="0">
                  <c:v>14.063207315545055</c:v>
                </c:pt>
                <c:pt idx="1">
                  <c:v>5.7102141108987929</c:v>
                </c:pt>
                <c:pt idx="2">
                  <c:v>2.5225737607408787</c:v>
                </c:pt>
                <c:pt idx="3">
                  <c:v>1.7681631202103869</c:v>
                </c:pt>
                <c:pt idx="4">
                  <c:v>1.4452420807311177</c:v>
                </c:pt>
                <c:pt idx="5">
                  <c:v>2.5147466998698245</c:v>
                </c:pt>
                <c:pt idx="6">
                  <c:v>5.6254629439125576</c:v>
                </c:pt>
                <c:pt idx="7">
                  <c:v>16.25179970310192</c:v>
                </c:pt>
                <c:pt idx="8">
                  <c:v>751.50967461821551</c:v>
                </c:pt>
              </c:numCache>
            </c:numRef>
          </c:yVal>
        </c:ser>
        <c:ser>
          <c:idx val="3"/>
          <c:order val="3"/>
          <c:tx>
            <c:v>EPIC 30 K Full Focal Plane</c:v>
          </c:tx>
          <c:xVal>
            <c:numRef>
              <c:f>Weights!$O$5:$O$13</c:f>
              <c:numCache>
                <c:formatCode>General</c:formatCode>
                <c:ptCount val="9"/>
                <c:pt idx="0">
                  <c:v>30</c:v>
                </c:pt>
                <c:pt idx="1">
                  <c:v>45</c:v>
                </c:pt>
                <c:pt idx="2">
                  <c:v>70</c:v>
                </c:pt>
                <c:pt idx="3">
                  <c:v>100</c:v>
                </c:pt>
                <c:pt idx="4">
                  <c:v>150</c:v>
                </c:pt>
                <c:pt idx="5">
                  <c:v>220</c:v>
                </c:pt>
                <c:pt idx="6">
                  <c:v>340</c:v>
                </c:pt>
                <c:pt idx="7">
                  <c:v>500</c:v>
                </c:pt>
                <c:pt idx="8">
                  <c:v>850</c:v>
                </c:pt>
              </c:numCache>
            </c:numRef>
          </c:xVal>
          <c:yVal>
            <c:numRef>
              <c:f>Weights!$T$5:$T$13</c:f>
              <c:numCache>
                <c:formatCode>0.0</c:formatCode>
                <c:ptCount val="9"/>
                <c:pt idx="0">
                  <c:v>22.40628518593239</c:v>
                </c:pt>
                <c:pt idx="1">
                  <c:v>9.0777612878947203</c:v>
                </c:pt>
                <c:pt idx="2">
                  <c:v>4.0675279696375517</c:v>
                </c:pt>
                <c:pt idx="3">
                  <c:v>2.9038750921831715</c:v>
                </c:pt>
                <c:pt idx="4">
                  <c:v>2.5544581050841138</c:v>
                </c:pt>
                <c:pt idx="5">
                  <c:v>5.291997549439305</c:v>
                </c:pt>
                <c:pt idx="6">
                  <c:v>19.95573017122317</c:v>
                </c:pt>
                <c:pt idx="7">
                  <c:v>112.30816978296816</c:v>
                </c:pt>
                <c:pt idx="8">
                  <c:v>20196.215657040102</c:v>
                </c:pt>
              </c:numCache>
            </c:numRef>
          </c:yVal>
        </c:ser>
        <c:ser>
          <c:idx val="4"/>
          <c:order val="4"/>
          <c:tx>
            <c:v>CMBP V2.4</c:v>
          </c:tx>
          <c:xVal>
            <c:numRef>
              <c:f>Weights!$V$5:$V$25</c:f>
              <c:numCache>
                <c:formatCode>General</c:formatCode>
                <c:ptCount val="21"/>
                <c:pt idx="0">
                  <c:v>21</c:v>
                </c:pt>
                <c:pt idx="1">
                  <c:v>25</c:v>
                </c:pt>
                <c:pt idx="2" formatCode="0">
                  <c:v>30</c:v>
                </c:pt>
                <c:pt idx="3" formatCode="0">
                  <c:v>36</c:v>
                </c:pt>
                <c:pt idx="4" formatCode="0">
                  <c:v>43.199999999999996</c:v>
                </c:pt>
                <c:pt idx="5" formatCode="0">
                  <c:v>51.839999999999996</c:v>
                </c:pt>
                <c:pt idx="6" formatCode="0">
                  <c:v>62.207999999999991</c:v>
                </c:pt>
                <c:pt idx="7" formatCode="0">
                  <c:v>74.649599999999992</c:v>
                </c:pt>
                <c:pt idx="8" formatCode="0">
                  <c:v>89.579519999999988</c:v>
                </c:pt>
                <c:pt idx="9" formatCode="0">
                  <c:v>107.49542399999999</c:v>
                </c:pt>
                <c:pt idx="10" formatCode="0">
                  <c:v>128.99450879999998</c:v>
                </c:pt>
                <c:pt idx="11" formatCode="0">
                  <c:v>154.79341055999996</c:v>
                </c:pt>
                <c:pt idx="12" formatCode="0">
                  <c:v>185.75209267199995</c:v>
                </c:pt>
                <c:pt idx="13" formatCode="0">
                  <c:v>222.90251120639994</c:v>
                </c:pt>
                <c:pt idx="14" formatCode="0">
                  <c:v>267.48301344767992</c:v>
                </c:pt>
                <c:pt idx="15" formatCode="0">
                  <c:v>320.97961613721588</c:v>
                </c:pt>
                <c:pt idx="16" formatCode="0">
                  <c:v>385.17553936465907</c:v>
                </c:pt>
                <c:pt idx="17" formatCode="0">
                  <c:v>462.21064723759088</c:v>
                </c:pt>
                <c:pt idx="18" formatCode="0">
                  <c:v>554.65277668510907</c:v>
                </c:pt>
                <c:pt idx="19" formatCode="0">
                  <c:v>665.58333202213089</c:v>
                </c:pt>
                <c:pt idx="20" formatCode="0">
                  <c:v>798.69999842655704</c:v>
                </c:pt>
              </c:numCache>
            </c:numRef>
          </c:xVal>
          <c:yVal>
            <c:numRef>
              <c:f>Weights!$X$5:$X$25</c:f>
              <c:numCache>
                <c:formatCode>General</c:formatCode>
                <c:ptCount val="21"/>
                <c:pt idx="0">
                  <c:v>50</c:v>
                </c:pt>
                <c:pt idx="1">
                  <c:v>33</c:v>
                </c:pt>
                <c:pt idx="2" formatCode="0.0">
                  <c:v>22.40628518593239</c:v>
                </c:pt>
                <c:pt idx="3">
                  <c:v>15</c:v>
                </c:pt>
                <c:pt idx="4" formatCode="0.0">
                  <c:v>9.0777612878947203</c:v>
                </c:pt>
                <c:pt idx="5">
                  <c:v>7</c:v>
                </c:pt>
                <c:pt idx="6">
                  <c:v>5</c:v>
                </c:pt>
                <c:pt idx="7">
                  <c:v>4</c:v>
                </c:pt>
                <c:pt idx="8">
                  <c:v>3.2</c:v>
                </c:pt>
                <c:pt idx="9" formatCode="0.0">
                  <c:v>2.9038750921831715</c:v>
                </c:pt>
                <c:pt idx="10">
                  <c:v>2.7</c:v>
                </c:pt>
                <c:pt idx="11" formatCode="0.0">
                  <c:v>2.5544581050841138</c:v>
                </c:pt>
                <c:pt idx="12">
                  <c:v>3.6</c:v>
                </c:pt>
                <c:pt idx="13" formatCode="0.0">
                  <c:v>5.291997549439305</c:v>
                </c:pt>
                <c:pt idx="14">
                  <c:v>9</c:v>
                </c:pt>
                <c:pt idx="15" formatCode="0.0">
                  <c:v>16</c:v>
                </c:pt>
                <c:pt idx="16">
                  <c:v>32</c:v>
                </c:pt>
                <c:pt idx="17">
                  <c:v>75</c:v>
                </c:pt>
                <c:pt idx="18" formatCode="0.0">
                  <c:v>220</c:v>
                </c:pt>
                <c:pt idx="19">
                  <c:v>1100</c:v>
                </c:pt>
                <c:pt idx="20" formatCode="0.0">
                  <c:v>10000</c:v>
                </c:pt>
              </c:numCache>
            </c:numRef>
          </c:yVal>
        </c:ser>
        <c:ser>
          <c:idx val="5"/>
          <c:order val="5"/>
          <c:tx>
            <c:v>PICO Open Baseline V2.5</c:v>
          </c:tx>
          <c:xVal>
            <c:numRef>
              <c:f>Weights!$AA$5:$AA$25</c:f>
              <c:numCache>
                <c:formatCode>General</c:formatCode>
                <c:ptCount val="21"/>
                <c:pt idx="0">
                  <c:v>21</c:v>
                </c:pt>
                <c:pt idx="1">
                  <c:v>25</c:v>
                </c:pt>
                <c:pt idx="2" formatCode="0">
                  <c:v>30</c:v>
                </c:pt>
                <c:pt idx="3" formatCode="0">
                  <c:v>36</c:v>
                </c:pt>
                <c:pt idx="4" formatCode="0">
                  <c:v>43.199999999999996</c:v>
                </c:pt>
                <c:pt idx="5" formatCode="0">
                  <c:v>51.839999999999996</c:v>
                </c:pt>
                <c:pt idx="6" formatCode="0">
                  <c:v>62.207999999999991</c:v>
                </c:pt>
                <c:pt idx="7" formatCode="0">
                  <c:v>74.649599999999992</c:v>
                </c:pt>
                <c:pt idx="8" formatCode="0">
                  <c:v>89.579519999999988</c:v>
                </c:pt>
                <c:pt idx="9" formatCode="0">
                  <c:v>107.49542399999999</c:v>
                </c:pt>
                <c:pt idx="10" formatCode="0">
                  <c:v>128.99450879999998</c:v>
                </c:pt>
                <c:pt idx="11" formatCode="0">
                  <c:v>154.79341055999996</c:v>
                </c:pt>
                <c:pt idx="12" formatCode="0">
                  <c:v>185.75209267199995</c:v>
                </c:pt>
                <c:pt idx="13" formatCode="0">
                  <c:v>222.90251120639994</c:v>
                </c:pt>
                <c:pt idx="14" formatCode="0">
                  <c:v>267.48301344767992</c:v>
                </c:pt>
                <c:pt idx="15" formatCode="0">
                  <c:v>320.97961613721588</c:v>
                </c:pt>
                <c:pt idx="16" formatCode="0">
                  <c:v>385.17553936465907</c:v>
                </c:pt>
                <c:pt idx="17" formatCode="0">
                  <c:v>462.21064723759088</c:v>
                </c:pt>
                <c:pt idx="18" formatCode="0">
                  <c:v>554.65277668510907</c:v>
                </c:pt>
                <c:pt idx="19" formatCode="0">
                  <c:v>665.58333202213089</c:v>
                </c:pt>
                <c:pt idx="20" formatCode="0">
                  <c:v>798.69999842655704</c:v>
                </c:pt>
              </c:numCache>
            </c:numRef>
          </c:xVal>
          <c:yVal>
            <c:numRef>
              <c:f>Weights!$AC$5:$AC$25</c:f>
              <c:numCache>
                <c:formatCode>0.0</c:formatCode>
                <c:ptCount val="21"/>
                <c:pt idx="0">
                  <c:v>14.147812456400001</c:v>
                </c:pt>
                <c:pt idx="1">
                  <c:v>8.8050560751499987</c:v>
                </c:pt>
                <c:pt idx="2">
                  <c:v>9.9243910375300004</c:v>
                </c:pt>
                <c:pt idx="3">
                  <c:v>6.1920000000000002</c:v>
                </c:pt>
                <c:pt idx="4">
                  <c:v>8.2981705362200007</c:v>
                </c:pt>
                <c:pt idx="5">
                  <c:v>5.2210580268299998</c:v>
                </c:pt>
                <c:pt idx="6">
                  <c:v>3.1098904272400003</c:v>
                </c:pt>
                <c:pt idx="7">
                  <c:v>2.6224324749600001</c:v>
                </c:pt>
                <c:pt idx="8">
                  <c:v>2.36682448571</c:v>
                </c:pt>
                <c:pt idx="9">
                  <c:v>2.0704365309899999</c:v>
                </c:pt>
                <c:pt idx="10">
                  <c:v>2.2572839170000001</c:v>
                </c:pt>
                <c:pt idx="11">
                  <c:v>2.117</c:v>
                </c:pt>
                <c:pt idx="12">
                  <c:v>2.45205639419</c:v>
                </c:pt>
                <c:pt idx="13">
                  <c:v>3.36621269778</c:v>
                </c:pt>
                <c:pt idx="14">
                  <c:v>3.6337160971000002</c:v>
                </c:pt>
                <c:pt idx="15">
                  <c:v>6.8177589794799998</c:v>
                </c:pt>
                <c:pt idx="16">
                  <c:v>12.028266637</c:v>
                </c:pt>
                <c:pt idx="17">
                  <c:v>34.909622943199999</c:v>
                </c:pt>
                <c:pt idx="18">
                  <c:v>252.34969999999998</c:v>
                </c:pt>
                <c:pt idx="19">
                  <c:v>1169.2104999999999</c:v>
                </c:pt>
                <c:pt idx="20">
                  <c:v>7703.4686999999994</c:v>
                </c:pt>
              </c:numCache>
            </c:numRef>
          </c:yVal>
        </c:ser>
        <c:ser>
          <c:idx val="6"/>
          <c:order val="6"/>
          <c:tx>
            <c:v>PICO Open V3.D corrected 10B mid band</c:v>
          </c:tx>
          <c:xVal>
            <c:numRef>
              <c:f>Weights!$AA$5:$AA$25</c:f>
              <c:numCache>
                <c:formatCode>General</c:formatCode>
                <c:ptCount val="21"/>
                <c:pt idx="0">
                  <c:v>21</c:v>
                </c:pt>
                <c:pt idx="1">
                  <c:v>25</c:v>
                </c:pt>
                <c:pt idx="2" formatCode="0">
                  <c:v>30</c:v>
                </c:pt>
                <c:pt idx="3" formatCode="0">
                  <c:v>36</c:v>
                </c:pt>
                <c:pt idx="4" formatCode="0">
                  <c:v>43.199999999999996</c:v>
                </c:pt>
                <c:pt idx="5" formatCode="0">
                  <c:v>51.839999999999996</c:v>
                </c:pt>
                <c:pt idx="6" formatCode="0">
                  <c:v>62.207999999999991</c:v>
                </c:pt>
                <c:pt idx="7" formatCode="0">
                  <c:v>74.649599999999992</c:v>
                </c:pt>
                <c:pt idx="8" formatCode="0">
                  <c:v>89.579519999999988</c:v>
                </c:pt>
                <c:pt idx="9" formatCode="0">
                  <c:v>107.49542399999999</c:v>
                </c:pt>
                <c:pt idx="10" formatCode="0">
                  <c:v>128.99450879999998</c:v>
                </c:pt>
                <c:pt idx="11" formatCode="0">
                  <c:v>154.79341055999996</c:v>
                </c:pt>
                <c:pt idx="12" formatCode="0">
                  <c:v>185.75209267199995</c:v>
                </c:pt>
                <c:pt idx="13" formatCode="0">
                  <c:v>222.90251120639994</c:v>
                </c:pt>
                <c:pt idx="14" formatCode="0">
                  <c:v>267.48301344767992</c:v>
                </c:pt>
                <c:pt idx="15" formatCode="0">
                  <c:v>320.97961613721588</c:v>
                </c:pt>
                <c:pt idx="16" formatCode="0">
                  <c:v>385.17553936465907</c:v>
                </c:pt>
                <c:pt idx="17" formatCode="0">
                  <c:v>462.21064723759088</c:v>
                </c:pt>
                <c:pt idx="18" formatCode="0">
                  <c:v>554.65277668510907</c:v>
                </c:pt>
                <c:pt idx="19" formatCode="0">
                  <c:v>665.58333202213089</c:v>
                </c:pt>
                <c:pt idx="20" formatCode="0">
                  <c:v>798.69999842655704</c:v>
                </c:pt>
              </c:numCache>
            </c:numRef>
          </c:xVal>
          <c:yVal>
            <c:numRef>
              <c:f>Weights!$AP$61:$AP$81</c:f>
              <c:numCache>
                <c:formatCode>0.0</c:formatCode>
                <c:ptCount val="21"/>
                <c:pt idx="0">
                  <c:v>16.631702961000002</c:v>
                </c:pt>
                <c:pt idx="1">
                  <c:v>10.6608314766</c:v>
                </c:pt>
                <c:pt idx="2">
                  <c:v>8.0192304120699998</c:v>
                </c:pt>
                <c:pt idx="3">
                  <c:v>5.1858468154199997</c:v>
                </c:pt>
                <c:pt idx="4">
                  <c:v>5.7001271977599997</c:v>
                </c:pt>
                <c:pt idx="5">
                  <c:v>3.7333649342699999</c:v>
                </c:pt>
                <c:pt idx="6">
                  <c:v>3.49110906714</c:v>
                </c:pt>
                <c:pt idx="7">
                  <c:v>2.9433493890199998</c:v>
                </c:pt>
                <c:pt idx="8">
                  <c:v>1.90160742921</c:v>
                </c:pt>
                <c:pt idx="9">
                  <c:v>1.67935063447</c:v>
                </c:pt>
                <c:pt idx="10">
                  <c:v>1.5791576282400002</c:v>
                </c:pt>
                <c:pt idx="11">
                  <c:v>1.50037669104</c:v>
                </c:pt>
                <c:pt idx="12">
                  <c:v>2.5409999999999999</c:v>
                </c:pt>
                <c:pt idx="13">
                  <c:v>3.3937676941800001</c:v>
                </c:pt>
                <c:pt idx="14">
                  <c:v>2.84425213993</c:v>
                </c:pt>
                <c:pt idx="15">
                  <c:v>5.2312047580499996</c:v>
                </c:pt>
                <c:pt idx="16">
                  <c:v>8.4942313174499997</c:v>
                </c:pt>
                <c:pt idx="17">
                  <c:v>24.572432719799998</c:v>
                </c:pt>
                <c:pt idx="18">
                  <c:v>178.43819999999999</c:v>
                </c:pt>
                <c:pt idx="19">
                  <c:v>826.75670000000002</c:v>
                </c:pt>
                <c:pt idx="20">
                  <c:v>5447.1749</c:v>
                </c:pt>
              </c:numCache>
            </c:numRef>
          </c:yVal>
        </c:ser>
        <c:axId val="67198976"/>
        <c:axId val="67201280"/>
      </c:scatterChart>
      <c:valAx>
        <c:axId val="671989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Frequency (GHz)</a:t>
                </a:r>
              </a:p>
            </c:rich>
          </c:tx>
        </c:title>
        <c:numFmt formatCode="General" sourceLinked="1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67201280"/>
        <c:crosses val="autoZero"/>
        <c:crossBetween val="midCat"/>
      </c:valAx>
      <c:valAx>
        <c:axId val="67201280"/>
        <c:scaling>
          <c:logBase val="10"/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Noise (uK</a:t>
                </a:r>
                <a:r>
                  <a:rPr lang="en-US" sz="1800" baseline="0"/>
                  <a:t> * arcmin)</a:t>
                </a:r>
                <a:endParaRPr lang="en-US" sz="1800"/>
              </a:p>
            </c:rich>
          </c:tx>
        </c:title>
        <c:numFmt formatCode="0.0" sourceLinked="1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6719897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23476626669740241"/>
          <c:y val="0.15770094728006726"/>
          <c:w val="0.3357914996305213"/>
          <c:h val="0.40718993564890682"/>
        </c:manualLayout>
      </c:layout>
      <c:spPr>
        <a:solidFill>
          <a:schemeClr val="bg1"/>
        </a:solidFill>
        <a:ln>
          <a:solidFill>
            <a:srgbClr val="FF6600"/>
          </a:solidFill>
        </a:ln>
      </c:spPr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gap"/>
  </c:chart>
  <c:printSettings>
    <c:headerFooter/>
    <c:pageMargins b="1" l="0.75000000000000089" r="0.75000000000000089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Weights</a:t>
            </a:r>
          </a:p>
        </c:rich>
      </c:tx>
    </c:title>
    <c:plotArea>
      <c:layout>
        <c:manualLayout>
          <c:layoutTarget val="inner"/>
          <c:xMode val="edge"/>
          <c:yMode val="edge"/>
          <c:x val="0.17757130897929019"/>
          <c:y val="0.11979695431472102"/>
          <c:w val="0.74246072091527759"/>
          <c:h val="0.73057556257244505"/>
        </c:manualLayout>
      </c:layout>
      <c:scatterChart>
        <c:scatterStyle val="lineMarker"/>
        <c:ser>
          <c:idx val="1"/>
          <c:order val="0"/>
          <c:tx>
            <c:v>CORE 40 K</c:v>
          </c:tx>
          <c:xVal>
            <c:numRef>
              <c:f>Weights!$A$21:$A$39</c:f>
              <c:numCache>
                <c:formatCode>General</c:formatCode>
                <c:ptCount val="19"/>
                <c:pt idx="0">
                  <c:v>60</c:v>
                </c:pt>
                <c:pt idx="1">
                  <c:v>70</c:v>
                </c:pt>
                <c:pt idx="2">
                  <c:v>80</c:v>
                </c:pt>
                <c:pt idx="3">
                  <c:v>90</c:v>
                </c:pt>
                <c:pt idx="4">
                  <c:v>100</c:v>
                </c:pt>
                <c:pt idx="5">
                  <c:v>115</c:v>
                </c:pt>
                <c:pt idx="6">
                  <c:v>130</c:v>
                </c:pt>
                <c:pt idx="7">
                  <c:v>145</c:v>
                </c:pt>
                <c:pt idx="8">
                  <c:v>160</c:v>
                </c:pt>
                <c:pt idx="9">
                  <c:v>175</c:v>
                </c:pt>
                <c:pt idx="10">
                  <c:v>195</c:v>
                </c:pt>
                <c:pt idx="11">
                  <c:v>220</c:v>
                </c:pt>
                <c:pt idx="12">
                  <c:v>255</c:v>
                </c:pt>
                <c:pt idx="13">
                  <c:v>295</c:v>
                </c:pt>
                <c:pt idx="14">
                  <c:v>340</c:v>
                </c:pt>
                <c:pt idx="15">
                  <c:v>390</c:v>
                </c:pt>
                <c:pt idx="16">
                  <c:v>450</c:v>
                </c:pt>
                <c:pt idx="17">
                  <c:v>520</c:v>
                </c:pt>
                <c:pt idx="18">
                  <c:v>600</c:v>
                </c:pt>
              </c:numCache>
            </c:numRef>
          </c:xVal>
          <c:yVal>
            <c:numRef>
              <c:f>Weights!$F$21:$F$39</c:f>
              <c:numCache>
                <c:formatCode>General</c:formatCode>
                <c:ptCount val="19"/>
                <c:pt idx="0">
                  <c:v>10.6</c:v>
                </c:pt>
                <c:pt idx="1">
                  <c:v>10</c:v>
                </c:pt>
                <c:pt idx="2">
                  <c:v>9.6</c:v>
                </c:pt>
                <c:pt idx="3">
                  <c:v>7.3</c:v>
                </c:pt>
                <c:pt idx="4">
                  <c:v>7.1</c:v>
                </c:pt>
                <c:pt idx="5">
                  <c:v>7</c:v>
                </c:pt>
                <c:pt idx="6">
                  <c:v>5.5</c:v>
                </c:pt>
                <c:pt idx="7">
                  <c:v>5.0999999999999996</c:v>
                </c:pt>
                <c:pt idx="8">
                  <c:v>5.2</c:v>
                </c:pt>
                <c:pt idx="9">
                  <c:v>5.0999999999999996</c:v>
                </c:pt>
                <c:pt idx="10">
                  <c:v>4.9000000000000004</c:v>
                </c:pt>
                <c:pt idx="11">
                  <c:v>5.4</c:v>
                </c:pt>
                <c:pt idx="12">
                  <c:v>7.9</c:v>
                </c:pt>
                <c:pt idx="13">
                  <c:v>10.5</c:v>
                </c:pt>
                <c:pt idx="14">
                  <c:v>15.7</c:v>
                </c:pt>
                <c:pt idx="15">
                  <c:v>31.1</c:v>
                </c:pt>
                <c:pt idx="16">
                  <c:v>64.900000000000006</c:v>
                </c:pt>
                <c:pt idx="17">
                  <c:v>164.8</c:v>
                </c:pt>
                <c:pt idx="18">
                  <c:v>506.7</c:v>
                </c:pt>
              </c:numCache>
            </c:numRef>
          </c:yVal>
        </c:ser>
        <c:ser>
          <c:idx val="2"/>
          <c:order val="1"/>
          <c:tx>
            <c:v>EPIC 4 K</c:v>
          </c:tx>
          <c:xVal>
            <c:numRef>
              <c:f>Weights!$A$5:$A$13</c:f>
              <c:numCache>
                <c:formatCode>General</c:formatCode>
                <c:ptCount val="9"/>
                <c:pt idx="0">
                  <c:v>30</c:v>
                </c:pt>
                <c:pt idx="1">
                  <c:v>45</c:v>
                </c:pt>
                <c:pt idx="2">
                  <c:v>70</c:v>
                </c:pt>
                <c:pt idx="3">
                  <c:v>100</c:v>
                </c:pt>
                <c:pt idx="4">
                  <c:v>150</c:v>
                </c:pt>
                <c:pt idx="5">
                  <c:v>220</c:v>
                </c:pt>
                <c:pt idx="6">
                  <c:v>340</c:v>
                </c:pt>
                <c:pt idx="7">
                  <c:v>500</c:v>
                </c:pt>
                <c:pt idx="8">
                  <c:v>850</c:v>
                </c:pt>
              </c:numCache>
            </c:numRef>
          </c:xVal>
          <c:yVal>
            <c:numRef>
              <c:f>Weights!$F$5:$F$13</c:f>
              <c:numCache>
                <c:formatCode>0.0</c:formatCode>
                <c:ptCount val="9"/>
                <c:pt idx="0">
                  <c:v>14.063207315545055</c:v>
                </c:pt>
                <c:pt idx="1">
                  <c:v>5.7102141108987929</c:v>
                </c:pt>
                <c:pt idx="2">
                  <c:v>2.5225737607408787</c:v>
                </c:pt>
                <c:pt idx="3">
                  <c:v>1.7681631202103869</c:v>
                </c:pt>
                <c:pt idx="4">
                  <c:v>1.4452420807311177</c:v>
                </c:pt>
                <c:pt idx="5">
                  <c:v>2.5147466998698245</c:v>
                </c:pt>
                <c:pt idx="6">
                  <c:v>5.6254629439125576</c:v>
                </c:pt>
                <c:pt idx="7">
                  <c:v>16.25179970310192</c:v>
                </c:pt>
                <c:pt idx="8">
                  <c:v>751.50967461821551</c:v>
                </c:pt>
              </c:numCache>
            </c:numRef>
          </c:yVal>
        </c:ser>
        <c:ser>
          <c:idx val="4"/>
          <c:order val="2"/>
          <c:tx>
            <c:v>PICO V2.4</c:v>
          </c:tx>
          <c:xVal>
            <c:numRef>
              <c:f>Weights!$V$5:$V$25</c:f>
              <c:numCache>
                <c:formatCode>General</c:formatCode>
                <c:ptCount val="21"/>
                <c:pt idx="0">
                  <c:v>21</c:v>
                </c:pt>
                <c:pt idx="1">
                  <c:v>25</c:v>
                </c:pt>
                <c:pt idx="2" formatCode="0">
                  <c:v>30</c:v>
                </c:pt>
                <c:pt idx="3" formatCode="0">
                  <c:v>36</c:v>
                </c:pt>
                <c:pt idx="4" formatCode="0">
                  <c:v>43.199999999999996</c:v>
                </c:pt>
                <c:pt idx="5" formatCode="0">
                  <c:v>51.839999999999996</c:v>
                </c:pt>
                <c:pt idx="6" formatCode="0">
                  <c:v>62.207999999999991</c:v>
                </c:pt>
                <c:pt idx="7" formatCode="0">
                  <c:v>74.649599999999992</c:v>
                </c:pt>
                <c:pt idx="8" formatCode="0">
                  <c:v>89.579519999999988</c:v>
                </c:pt>
                <c:pt idx="9" formatCode="0">
                  <c:v>107.49542399999999</c:v>
                </c:pt>
                <c:pt idx="10" formatCode="0">
                  <c:v>128.99450879999998</c:v>
                </c:pt>
                <c:pt idx="11" formatCode="0">
                  <c:v>154.79341055999996</c:v>
                </c:pt>
                <c:pt idx="12" formatCode="0">
                  <c:v>185.75209267199995</c:v>
                </c:pt>
                <c:pt idx="13" formatCode="0">
                  <c:v>222.90251120639994</c:v>
                </c:pt>
                <c:pt idx="14" formatCode="0">
                  <c:v>267.48301344767992</c:v>
                </c:pt>
                <c:pt idx="15" formatCode="0">
                  <c:v>320.97961613721588</c:v>
                </c:pt>
                <c:pt idx="16" formatCode="0">
                  <c:v>385.17553936465907</c:v>
                </c:pt>
                <c:pt idx="17" formatCode="0">
                  <c:v>462.21064723759088</c:v>
                </c:pt>
                <c:pt idx="18" formatCode="0">
                  <c:v>554.65277668510907</c:v>
                </c:pt>
                <c:pt idx="19" formatCode="0">
                  <c:v>665.58333202213089</c:v>
                </c:pt>
                <c:pt idx="20" formatCode="0">
                  <c:v>798.69999842655704</c:v>
                </c:pt>
              </c:numCache>
            </c:numRef>
          </c:xVal>
          <c:yVal>
            <c:numRef>
              <c:f>Weights!$X$5:$X$25</c:f>
              <c:numCache>
                <c:formatCode>General</c:formatCode>
                <c:ptCount val="21"/>
                <c:pt idx="0">
                  <c:v>50</c:v>
                </c:pt>
                <c:pt idx="1">
                  <c:v>33</c:v>
                </c:pt>
                <c:pt idx="2" formatCode="0.0">
                  <c:v>22.40628518593239</c:v>
                </c:pt>
                <c:pt idx="3">
                  <c:v>15</c:v>
                </c:pt>
                <c:pt idx="4" formatCode="0.0">
                  <c:v>9.0777612878947203</c:v>
                </c:pt>
                <c:pt idx="5">
                  <c:v>7</c:v>
                </c:pt>
                <c:pt idx="6">
                  <c:v>5</c:v>
                </c:pt>
                <c:pt idx="7">
                  <c:v>4</c:v>
                </c:pt>
                <c:pt idx="8">
                  <c:v>3.2</c:v>
                </c:pt>
                <c:pt idx="9" formatCode="0.0">
                  <c:v>2.9038750921831715</c:v>
                </c:pt>
                <c:pt idx="10">
                  <c:v>2.7</c:v>
                </c:pt>
                <c:pt idx="11" formatCode="0.0">
                  <c:v>2.5544581050841138</c:v>
                </c:pt>
                <c:pt idx="12">
                  <c:v>3.6</c:v>
                </c:pt>
                <c:pt idx="13" formatCode="0.0">
                  <c:v>5.291997549439305</c:v>
                </c:pt>
                <c:pt idx="14">
                  <c:v>9</c:v>
                </c:pt>
                <c:pt idx="15" formatCode="0.0">
                  <c:v>16</c:v>
                </c:pt>
                <c:pt idx="16">
                  <c:v>32</c:v>
                </c:pt>
                <c:pt idx="17">
                  <c:v>75</c:v>
                </c:pt>
                <c:pt idx="18" formatCode="0.0">
                  <c:v>220</c:v>
                </c:pt>
                <c:pt idx="19">
                  <c:v>1100</c:v>
                </c:pt>
                <c:pt idx="20" formatCode="0.0">
                  <c:v>10000</c:v>
                </c:pt>
              </c:numCache>
            </c:numRef>
          </c:yVal>
        </c:ser>
        <c:ser>
          <c:idx val="5"/>
          <c:order val="3"/>
          <c:tx>
            <c:v>PICO Open Baseline V2.5</c:v>
          </c:tx>
          <c:xVal>
            <c:numRef>
              <c:f>Weights!$AA$5:$AA$25</c:f>
              <c:numCache>
                <c:formatCode>General</c:formatCode>
                <c:ptCount val="21"/>
                <c:pt idx="0">
                  <c:v>21</c:v>
                </c:pt>
                <c:pt idx="1">
                  <c:v>25</c:v>
                </c:pt>
                <c:pt idx="2" formatCode="0">
                  <c:v>30</c:v>
                </c:pt>
                <c:pt idx="3" formatCode="0">
                  <c:v>36</c:v>
                </c:pt>
                <c:pt idx="4" formatCode="0">
                  <c:v>43.199999999999996</c:v>
                </c:pt>
                <c:pt idx="5" formatCode="0">
                  <c:v>51.839999999999996</c:v>
                </c:pt>
                <c:pt idx="6" formatCode="0">
                  <c:v>62.207999999999991</c:v>
                </c:pt>
                <c:pt idx="7" formatCode="0">
                  <c:v>74.649599999999992</c:v>
                </c:pt>
                <c:pt idx="8" formatCode="0">
                  <c:v>89.579519999999988</c:v>
                </c:pt>
                <c:pt idx="9" formatCode="0">
                  <c:v>107.49542399999999</c:v>
                </c:pt>
                <c:pt idx="10" formatCode="0">
                  <c:v>128.99450879999998</c:v>
                </c:pt>
                <c:pt idx="11" formatCode="0">
                  <c:v>154.79341055999996</c:v>
                </c:pt>
                <c:pt idx="12" formatCode="0">
                  <c:v>185.75209267199995</c:v>
                </c:pt>
                <c:pt idx="13" formatCode="0">
                  <c:v>222.90251120639994</c:v>
                </c:pt>
                <c:pt idx="14" formatCode="0">
                  <c:v>267.48301344767992</c:v>
                </c:pt>
                <c:pt idx="15" formatCode="0">
                  <c:v>320.97961613721588</c:v>
                </c:pt>
                <c:pt idx="16" formatCode="0">
                  <c:v>385.17553936465907</c:v>
                </c:pt>
                <c:pt idx="17" formatCode="0">
                  <c:v>462.21064723759088</c:v>
                </c:pt>
                <c:pt idx="18" formatCode="0">
                  <c:v>554.65277668510907</c:v>
                </c:pt>
                <c:pt idx="19" formatCode="0">
                  <c:v>665.58333202213089</c:v>
                </c:pt>
                <c:pt idx="20" formatCode="0">
                  <c:v>798.69999842655704</c:v>
                </c:pt>
              </c:numCache>
            </c:numRef>
          </c:xVal>
          <c:yVal>
            <c:numRef>
              <c:f>Weights!$AC$5:$AC$25</c:f>
              <c:numCache>
                <c:formatCode>0.0</c:formatCode>
                <c:ptCount val="21"/>
                <c:pt idx="0">
                  <c:v>14.147812456400001</c:v>
                </c:pt>
                <c:pt idx="1">
                  <c:v>8.8050560751499987</c:v>
                </c:pt>
                <c:pt idx="2">
                  <c:v>9.9243910375300004</c:v>
                </c:pt>
                <c:pt idx="3">
                  <c:v>6.1920000000000002</c:v>
                </c:pt>
                <c:pt idx="4">
                  <c:v>8.2981705362200007</c:v>
                </c:pt>
                <c:pt idx="5">
                  <c:v>5.2210580268299998</c:v>
                </c:pt>
                <c:pt idx="6">
                  <c:v>3.1098904272400003</c:v>
                </c:pt>
                <c:pt idx="7">
                  <c:v>2.6224324749600001</c:v>
                </c:pt>
                <c:pt idx="8">
                  <c:v>2.36682448571</c:v>
                </c:pt>
                <c:pt idx="9">
                  <c:v>2.0704365309899999</c:v>
                </c:pt>
                <c:pt idx="10">
                  <c:v>2.2572839170000001</c:v>
                </c:pt>
                <c:pt idx="11">
                  <c:v>2.117</c:v>
                </c:pt>
                <c:pt idx="12">
                  <c:v>2.45205639419</c:v>
                </c:pt>
                <c:pt idx="13">
                  <c:v>3.36621269778</c:v>
                </c:pt>
                <c:pt idx="14">
                  <c:v>3.6337160971000002</c:v>
                </c:pt>
                <c:pt idx="15">
                  <c:v>6.8177589794799998</c:v>
                </c:pt>
                <c:pt idx="16">
                  <c:v>12.028266637</c:v>
                </c:pt>
                <c:pt idx="17">
                  <c:v>34.909622943199999</c:v>
                </c:pt>
                <c:pt idx="18">
                  <c:v>252.34969999999998</c:v>
                </c:pt>
                <c:pt idx="19">
                  <c:v>1169.2104999999999</c:v>
                </c:pt>
                <c:pt idx="20">
                  <c:v>7703.4686999999994</c:v>
                </c:pt>
              </c:numCache>
            </c:numRef>
          </c:yVal>
        </c:ser>
        <c:ser>
          <c:idx val="6"/>
          <c:order val="4"/>
          <c:tx>
            <c:v>PICO Open dB at mid band</c:v>
          </c:tx>
          <c:xVal>
            <c:numRef>
              <c:f>Weights!$AA$5:$AA$25</c:f>
              <c:numCache>
                <c:formatCode>General</c:formatCode>
                <c:ptCount val="21"/>
                <c:pt idx="0">
                  <c:v>21</c:v>
                </c:pt>
                <c:pt idx="1">
                  <c:v>25</c:v>
                </c:pt>
                <c:pt idx="2" formatCode="0">
                  <c:v>30</c:v>
                </c:pt>
                <c:pt idx="3" formatCode="0">
                  <c:v>36</c:v>
                </c:pt>
                <c:pt idx="4" formatCode="0">
                  <c:v>43.199999999999996</c:v>
                </c:pt>
                <c:pt idx="5" formatCode="0">
                  <c:v>51.839999999999996</c:v>
                </c:pt>
                <c:pt idx="6" formatCode="0">
                  <c:v>62.207999999999991</c:v>
                </c:pt>
                <c:pt idx="7" formatCode="0">
                  <c:v>74.649599999999992</c:v>
                </c:pt>
                <c:pt idx="8" formatCode="0">
                  <c:v>89.579519999999988</c:v>
                </c:pt>
                <c:pt idx="9" formatCode="0">
                  <c:v>107.49542399999999</c:v>
                </c:pt>
                <c:pt idx="10" formatCode="0">
                  <c:v>128.99450879999998</c:v>
                </c:pt>
                <c:pt idx="11" formatCode="0">
                  <c:v>154.79341055999996</c:v>
                </c:pt>
                <c:pt idx="12" formatCode="0">
                  <c:v>185.75209267199995</c:v>
                </c:pt>
                <c:pt idx="13" formatCode="0">
                  <c:v>222.90251120639994</c:v>
                </c:pt>
                <c:pt idx="14" formatCode="0">
                  <c:v>267.48301344767992</c:v>
                </c:pt>
                <c:pt idx="15" formatCode="0">
                  <c:v>320.97961613721588</c:v>
                </c:pt>
                <c:pt idx="16" formatCode="0">
                  <c:v>385.17553936465907</c:v>
                </c:pt>
                <c:pt idx="17" formatCode="0">
                  <c:v>462.21064723759088</c:v>
                </c:pt>
                <c:pt idx="18" formatCode="0">
                  <c:v>554.65277668510907</c:v>
                </c:pt>
                <c:pt idx="19" formatCode="0">
                  <c:v>665.58333202213089</c:v>
                </c:pt>
                <c:pt idx="20" formatCode="0">
                  <c:v>798.69999842655704</c:v>
                </c:pt>
              </c:numCache>
            </c:numRef>
          </c:xVal>
          <c:yVal>
            <c:numRef>
              <c:f>Weights!$AI$5:$AI$25</c:f>
              <c:numCache>
                <c:formatCode>0.0</c:formatCode>
                <c:ptCount val="21"/>
                <c:pt idx="0">
                  <c:v>17.371102716300001</c:v>
                </c:pt>
                <c:pt idx="1">
                  <c:v>11.1337956719</c:v>
                </c:pt>
                <c:pt idx="2">
                  <c:v>8.3605050978399991</c:v>
                </c:pt>
                <c:pt idx="3">
                  <c:v>5.4060000000000006</c:v>
                </c:pt>
                <c:pt idx="4">
                  <c:v>5.9329999999999998</c:v>
                </c:pt>
                <c:pt idx="5">
                  <c:v>3.8858913923500005</c:v>
                </c:pt>
                <c:pt idx="6">
                  <c:v>6.3456217158300001</c:v>
                </c:pt>
                <c:pt idx="7">
                  <c:v>4.7985478330099998</c:v>
                </c:pt>
                <c:pt idx="8">
                  <c:v>3.4501262165099997</c:v>
                </c:pt>
                <c:pt idx="9">
                  <c:v>2.7330000000000001</c:v>
                </c:pt>
                <c:pt idx="10">
                  <c:v>2.8625285048700002</c:v>
                </c:pt>
                <c:pt idx="11">
                  <c:v>2.4398288563200001</c:v>
                </c:pt>
                <c:pt idx="12">
                  <c:v>4.0854663369900006</c:v>
                </c:pt>
                <c:pt idx="13">
                  <c:v>5.3477930924699999</c:v>
                </c:pt>
                <c:pt idx="14">
                  <c:v>4.5673430435699993</c:v>
                </c:pt>
                <c:pt idx="15">
                  <c:v>8.234</c:v>
                </c:pt>
                <c:pt idx="16">
                  <c:v>13.635777923199999</c:v>
                </c:pt>
                <c:pt idx="17">
                  <c:v>38.667349613399999</c:v>
                </c:pt>
                <c:pt idx="18">
                  <c:v>252.38840000000002</c:v>
                </c:pt>
                <c:pt idx="19">
                  <c:v>1119.5892999999999</c:v>
                </c:pt>
                <c:pt idx="20">
                  <c:v>7345.9225999999999</c:v>
                </c:pt>
              </c:numCache>
            </c:numRef>
          </c:yVal>
        </c:ser>
        <c:ser>
          <c:idx val="0"/>
          <c:order val="5"/>
          <c:tx>
            <c:v>PICO Open optics V3.D</c:v>
          </c:tx>
          <c:xVal>
            <c:numRef>
              <c:f>Weights!$AA$5:$AA$25</c:f>
              <c:numCache>
                <c:formatCode>General</c:formatCode>
                <c:ptCount val="21"/>
                <c:pt idx="0">
                  <c:v>21</c:v>
                </c:pt>
                <c:pt idx="1">
                  <c:v>25</c:v>
                </c:pt>
                <c:pt idx="2" formatCode="0">
                  <c:v>30</c:v>
                </c:pt>
                <c:pt idx="3" formatCode="0">
                  <c:v>36</c:v>
                </c:pt>
                <c:pt idx="4" formatCode="0">
                  <c:v>43.199999999999996</c:v>
                </c:pt>
                <c:pt idx="5" formatCode="0">
                  <c:v>51.839999999999996</c:v>
                </c:pt>
                <c:pt idx="6" formatCode="0">
                  <c:v>62.207999999999991</c:v>
                </c:pt>
                <c:pt idx="7" formatCode="0">
                  <c:v>74.649599999999992</c:v>
                </c:pt>
                <c:pt idx="8" formatCode="0">
                  <c:v>89.579519999999988</c:v>
                </c:pt>
                <c:pt idx="9" formatCode="0">
                  <c:v>107.49542399999999</c:v>
                </c:pt>
                <c:pt idx="10" formatCode="0">
                  <c:v>128.99450879999998</c:v>
                </c:pt>
                <c:pt idx="11" formatCode="0">
                  <c:v>154.79341055999996</c:v>
                </c:pt>
                <c:pt idx="12" formatCode="0">
                  <c:v>185.75209267199995</c:v>
                </c:pt>
                <c:pt idx="13" formatCode="0">
                  <c:v>222.90251120639994</c:v>
                </c:pt>
                <c:pt idx="14" formatCode="0">
                  <c:v>267.48301344767992</c:v>
                </c:pt>
                <c:pt idx="15" formatCode="0">
                  <c:v>320.97961613721588</c:v>
                </c:pt>
                <c:pt idx="16" formatCode="0">
                  <c:v>385.17553936465907</c:v>
                </c:pt>
                <c:pt idx="17" formatCode="0">
                  <c:v>462.21064723759088</c:v>
                </c:pt>
                <c:pt idx="18" formatCode="0">
                  <c:v>554.65277668510907</c:v>
                </c:pt>
                <c:pt idx="19" formatCode="0">
                  <c:v>665.58333202213089</c:v>
                </c:pt>
                <c:pt idx="20" formatCode="0">
                  <c:v>798.69999842655704</c:v>
                </c:pt>
              </c:numCache>
            </c:numRef>
          </c:xVal>
          <c:yVal>
            <c:numRef>
              <c:f>Weights!$AN$5:$AN$25</c:f>
              <c:numCache>
                <c:formatCode>0.0</c:formatCode>
                <c:ptCount val="21"/>
                <c:pt idx="0">
                  <c:v>10.368722183599999</c:v>
                </c:pt>
                <c:pt idx="1">
                  <c:v>7.5322991036599998</c:v>
                </c:pt>
                <c:pt idx="2">
                  <c:v>7.6874002419199998</c:v>
                </c:pt>
                <c:pt idx="3">
                  <c:v>5.58142058473</c:v>
                </c:pt>
                <c:pt idx="4">
                  <c:v>6.4277352581600002</c:v>
                </c:pt>
                <c:pt idx="5">
                  <c:v>4.7061981069799996</c:v>
                </c:pt>
                <c:pt idx="6">
                  <c:v>4.9958460146899997</c:v>
                </c:pt>
                <c:pt idx="7">
                  <c:v>3.8284630551699999</c:v>
                </c:pt>
                <c:pt idx="8">
                  <c:v>3.9249343818599995</c:v>
                </c:pt>
                <c:pt idx="9">
                  <c:v>3.1056547964900001</c:v>
                </c:pt>
                <c:pt idx="10">
                  <c:v>3.7432818989899999</c:v>
                </c:pt>
                <c:pt idx="11">
                  <c:v>3.1755346804199998</c:v>
                </c:pt>
                <c:pt idx="12">
                  <c:v>3.8061977981699999</c:v>
                </c:pt>
                <c:pt idx="13">
                  <c:v>5.2191929675399997</c:v>
                </c:pt>
                <c:pt idx="14">
                  <c:v>5.6812130828600003</c:v>
                </c:pt>
                <c:pt idx="15">
                  <c:v>10.6247099963</c:v>
                </c:pt>
                <c:pt idx="16">
                  <c:v>18.805857132499998</c:v>
                </c:pt>
                <c:pt idx="17">
                  <c:v>54.402718102599998</c:v>
                </c:pt>
                <c:pt idx="18">
                  <c:v>290.98900000000003</c:v>
                </c:pt>
                <c:pt idx="19">
                  <c:v>1369.4689000000001</c:v>
                </c:pt>
                <c:pt idx="20">
                  <c:v>9198.943299999999</c:v>
                </c:pt>
              </c:numCache>
            </c:numRef>
          </c:yVal>
        </c:ser>
        <c:ser>
          <c:idx val="3"/>
          <c:order val="6"/>
          <c:tx>
            <c:v>PICO Open corrected baseline (Hills)</c:v>
          </c:tx>
          <c:xVal>
            <c:numRef>
              <c:f>Weights!$AA$5:$AA$25</c:f>
              <c:numCache>
                <c:formatCode>General</c:formatCode>
                <c:ptCount val="21"/>
                <c:pt idx="0">
                  <c:v>21</c:v>
                </c:pt>
                <c:pt idx="1">
                  <c:v>25</c:v>
                </c:pt>
                <c:pt idx="2" formatCode="0">
                  <c:v>30</c:v>
                </c:pt>
                <c:pt idx="3" formatCode="0">
                  <c:v>36</c:v>
                </c:pt>
                <c:pt idx="4" formatCode="0">
                  <c:v>43.199999999999996</c:v>
                </c:pt>
                <c:pt idx="5" formatCode="0">
                  <c:v>51.839999999999996</c:v>
                </c:pt>
                <c:pt idx="6" formatCode="0">
                  <c:v>62.207999999999991</c:v>
                </c:pt>
                <c:pt idx="7" formatCode="0">
                  <c:v>74.649599999999992</c:v>
                </c:pt>
                <c:pt idx="8" formatCode="0">
                  <c:v>89.579519999999988</c:v>
                </c:pt>
                <c:pt idx="9" formatCode="0">
                  <c:v>107.49542399999999</c:v>
                </c:pt>
                <c:pt idx="10" formatCode="0">
                  <c:v>128.99450879999998</c:v>
                </c:pt>
                <c:pt idx="11" formatCode="0">
                  <c:v>154.79341055999996</c:v>
                </c:pt>
                <c:pt idx="12" formatCode="0">
                  <c:v>185.75209267199995</c:v>
                </c:pt>
                <c:pt idx="13" formatCode="0">
                  <c:v>222.90251120639994</c:v>
                </c:pt>
                <c:pt idx="14" formatCode="0">
                  <c:v>267.48301344767992</c:v>
                </c:pt>
                <c:pt idx="15" formatCode="0">
                  <c:v>320.97961613721588</c:v>
                </c:pt>
                <c:pt idx="16" formatCode="0">
                  <c:v>385.17553936465907</c:v>
                </c:pt>
                <c:pt idx="17" formatCode="0">
                  <c:v>462.21064723759088</c:v>
                </c:pt>
                <c:pt idx="18" formatCode="0">
                  <c:v>554.65277668510907</c:v>
                </c:pt>
                <c:pt idx="19" formatCode="0">
                  <c:v>665.58333202213089</c:v>
                </c:pt>
                <c:pt idx="20" formatCode="0">
                  <c:v>798.69999842655704</c:v>
                </c:pt>
              </c:numCache>
            </c:numRef>
          </c:xVal>
          <c:yVal>
            <c:numRef>
              <c:f>Weights!$AH$33:$AH$53</c:f>
              <c:numCache>
                <c:formatCode>0.0</c:formatCode>
                <c:ptCount val="21"/>
                <c:pt idx="0">
                  <c:v>12.038417533199999</c:v>
                </c:pt>
                <c:pt idx="1">
                  <c:v>7.9965915790000004</c:v>
                </c:pt>
                <c:pt idx="2">
                  <c:v>9.0548357052299995</c:v>
                </c:pt>
                <c:pt idx="3">
                  <c:v>6.0172310968599998</c:v>
                </c:pt>
                <c:pt idx="4">
                  <c:v>7.6779999999999999</c:v>
                </c:pt>
                <c:pt idx="5">
                  <c:v>5.1497906738700001</c:v>
                </c:pt>
                <c:pt idx="6">
                  <c:v>3.3664871482600001</c:v>
                </c:pt>
                <c:pt idx="7">
                  <c:v>3.0024038266300002</c:v>
                </c:pt>
                <c:pt idx="8">
                  <c:v>2.6898179491600001</c:v>
                </c:pt>
                <c:pt idx="9">
                  <c:v>2.4742862616900001</c:v>
                </c:pt>
                <c:pt idx="10">
                  <c:v>2.5983860405699999</c:v>
                </c:pt>
                <c:pt idx="11">
                  <c:v>2.5578687659399999</c:v>
                </c:pt>
                <c:pt idx="12">
                  <c:v>3.0577869945599998</c:v>
                </c:pt>
                <c:pt idx="13">
                  <c:v>4.1985002538799998</c:v>
                </c:pt>
                <c:pt idx="14">
                  <c:v>4.5872984039899993</c:v>
                </c:pt>
                <c:pt idx="15">
                  <c:v>8.5744522037500008</c:v>
                </c:pt>
                <c:pt idx="16">
                  <c:v>15.214581627400001</c:v>
                </c:pt>
                <c:pt idx="17">
                  <c:v>43.96</c:v>
                </c:pt>
                <c:pt idx="18">
                  <c:v>262.72999999999996</c:v>
                </c:pt>
                <c:pt idx="19">
                  <c:v>1289.2227</c:v>
                </c:pt>
                <c:pt idx="20">
                  <c:v>8594.5596999999998</c:v>
                </c:pt>
              </c:numCache>
            </c:numRef>
          </c:yVal>
        </c:ser>
        <c:ser>
          <c:idx val="7"/>
          <c:order val="7"/>
          <c:tx>
            <c:v>PICO Cross 120cm</c:v>
          </c:tx>
          <c:xVal>
            <c:numRef>
              <c:f>Weights!$AA$5:$AA$25</c:f>
              <c:numCache>
                <c:formatCode>General</c:formatCode>
                <c:ptCount val="21"/>
                <c:pt idx="0">
                  <c:v>21</c:v>
                </c:pt>
                <c:pt idx="1">
                  <c:v>25</c:v>
                </c:pt>
                <c:pt idx="2" formatCode="0">
                  <c:v>30</c:v>
                </c:pt>
                <c:pt idx="3" formatCode="0">
                  <c:v>36</c:v>
                </c:pt>
                <c:pt idx="4" formatCode="0">
                  <c:v>43.199999999999996</c:v>
                </c:pt>
                <c:pt idx="5" formatCode="0">
                  <c:v>51.839999999999996</c:v>
                </c:pt>
                <c:pt idx="6" formatCode="0">
                  <c:v>62.207999999999991</c:v>
                </c:pt>
                <c:pt idx="7" formatCode="0">
                  <c:v>74.649599999999992</c:v>
                </c:pt>
                <c:pt idx="8" formatCode="0">
                  <c:v>89.579519999999988</c:v>
                </c:pt>
                <c:pt idx="9" formatCode="0">
                  <c:v>107.49542399999999</c:v>
                </c:pt>
                <c:pt idx="10" formatCode="0">
                  <c:v>128.99450879999998</c:v>
                </c:pt>
                <c:pt idx="11" formatCode="0">
                  <c:v>154.79341055999996</c:v>
                </c:pt>
                <c:pt idx="12" formatCode="0">
                  <c:v>185.75209267199995</c:v>
                </c:pt>
                <c:pt idx="13" formatCode="0">
                  <c:v>222.90251120639994</c:v>
                </c:pt>
                <c:pt idx="14" formatCode="0">
                  <c:v>267.48301344767992</c:v>
                </c:pt>
                <c:pt idx="15" formatCode="0">
                  <c:v>320.97961613721588</c:v>
                </c:pt>
                <c:pt idx="16" formatCode="0">
                  <c:v>385.17553936465907</c:v>
                </c:pt>
                <c:pt idx="17" formatCode="0">
                  <c:v>462.21064723759088</c:v>
                </c:pt>
                <c:pt idx="18" formatCode="0">
                  <c:v>554.65277668510907</c:v>
                </c:pt>
                <c:pt idx="19" formatCode="0">
                  <c:v>665.58333202213089</c:v>
                </c:pt>
                <c:pt idx="20" formatCode="0">
                  <c:v>798.69999842655704</c:v>
                </c:pt>
              </c:numCache>
            </c:numRef>
          </c:xVal>
          <c:yVal>
            <c:numRef>
              <c:f>Weights!$AM$33:$AM$53</c:f>
              <c:numCache>
                <c:formatCode>0.0</c:formatCode>
                <c:ptCount val="21"/>
                <c:pt idx="0">
                  <c:v>23.549625964699999</c:v>
                </c:pt>
                <c:pt idx="1">
                  <c:v>15.363765249200002</c:v>
                </c:pt>
                <c:pt idx="2">
                  <c:v>17.6039205135</c:v>
                </c:pt>
                <c:pt idx="3">
                  <c:v>11.477453564799999</c:v>
                </c:pt>
                <c:pt idx="4">
                  <c:v>14.991847703199999</c:v>
                </c:pt>
                <c:pt idx="5">
                  <c:v>9.8776547520999998</c:v>
                </c:pt>
                <c:pt idx="6">
                  <c:v>3.8680746063100004</c:v>
                </c:pt>
                <c:pt idx="7">
                  <c:v>3.31867800296</c:v>
                </c:pt>
                <c:pt idx="8">
                  <c:v>3.0709999999999997</c:v>
                </c:pt>
                <c:pt idx="9">
                  <c:v>2.7257538434800002</c:v>
                </c:pt>
                <c:pt idx="10">
                  <c:v>3.07578562056</c:v>
                </c:pt>
                <c:pt idx="11">
                  <c:v>2.9654010858000004</c:v>
                </c:pt>
                <c:pt idx="12">
                  <c:v>3.7623978685500004</c:v>
                </c:pt>
                <c:pt idx="13">
                  <c:v>5.6439100853099999</c:v>
                </c:pt>
                <c:pt idx="14">
                  <c:v>5.7029263381000002</c:v>
                </c:pt>
                <c:pt idx="15">
                  <c:v>11.3711392208</c:v>
                </c:pt>
                <c:pt idx="16">
                  <c:v>20.184850706799999</c:v>
                </c:pt>
                <c:pt idx="17">
                  <c:v>60.612765985400003</c:v>
                </c:pt>
                <c:pt idx="18">
                  <c:v>353.8349</c:v>
                </c:pt>
                <c:pt idx="19">
                  <c:v>1664.3808999999999</c:v>
                </c:pt>
                <c:pt idx="20">
                  <c:v>11171.262499999999</c:v>
                </c:pt>
              </c:numCache>
            </c:numRef>
          </c:yVal>
        </c:ser>
        <c:ser>
          <c:idx val="8"/>
          <c:order val="8"/>
          <c:tx>
            <c:v>PICO Open V3.D corrected 10dB mid band</c:v>
          </c:tx>
          <c:xVal>
            <c:numRef>
              <c:f>Weights!$AA$5:$AA$25</c:f>
              <c:numCache>
                <c:formatCode>General</c:formatCode>
                <c:ptCount val="21"/>
                <c:pt idx="0">
                  <c:v>21</c:v>
                </c:pt>
                <c:pt idx="1">
                  <c:v>25</c:v>
                </c:pt>
                <c:pt idx="2" formatCode="0">
                  <c:v>30</c:v>
                </c:pt>
                <c:pt idx="3" formatCode="0">
                  <c:v>36</c:v>
                </c:pt>
                <c:pt idx="4" formatCode="0">
                  <c:v>43.199999999999996</c:v>
                </c:pt>
                <c:pt idx="5" formatCode="0">
                  <c:v>51.839999999999996</c:v>
                </c:pt>
                <c:pt idx="6" formatCode="0">
                  <c:v>62.207999999999991</c:v>
                </c:pt>
                <c:pt idx="7" formatCode="0">
                  <c:v>74.649599999999992</c:v>
                </c:pt>
                <c:pt idx="8" formatCode="0">
                  <c:v>89.579519999999988</c:v>
                </c:pt>
                <c:pt idx="9" formatCode="0">
                  <c:v>107.49542399999999</c:v>
                </c:pt>
                <c:pt idx="10" formatCode="0">
                  <c:v>128.99450879999998</c:v>
                </c:pt>
                <c:pt idx="11" formatCode="0">
                  <c:v>154.79341055999996</c:v>
                </c:pt>
                <c:pt idx="12" formatCode="0">
                  <c:v>185.75209267199995</c:v>
                </c:pt>
                <c:pt idx="13" formatCode="0">
                  <c:v>222.90251120639994</c:v>
                </c:pt>
                <c:pt idx="14" formatCode="0">
                  <c:v>267.48301344767992</c:v>
                </c:pt>
                <c:pt idx="15" formatCode="0">
                  <c:v>320.97961613721588</c:v>
                </c:pt>
                <c:pt idx="16" formatCode="0">
                  <c:v>385.17553936465907</c:v>
                </c:pt>
                <c:pt idx="17" formatCode="0">
                  <c:v>462.21064723759088</c:v>
                </c:pt>
                <c:pt idx="18" formatCode="0">
                  <c:v>554.65277668510907</c:v>
                </c:pt>
                <c:pt idx="19" formatCode="0">
                  <c:v>665.58333202213089</c:v>
                </c:pt>
                <c:pt idx="20" formatCode="0">
                  <c:v>798.69999842655704</c:v>
                </c:pt>
              </c:numCache>
            </c:numRef>
          </c:xVal>
          <c:yVal>
            <c:numRef>
              <c:f>Weights!$AP$61:$AP$81</c:f>
              <c:numCache>
                <c:formatCode>0.0</c:formatCode>
                <c:ptCount val="21"/>
                <c:pt idx="0">
                  <c:v>16.631702961000002</c:v>
                </c:pt>
                <c:pt idx="1">
                  <c:v>10.6608314766</c:v>
                </c:pt>
                <c:pt idx="2">
                  <c:v>8.0192304120699998</c:v>
                </c:pt>
                <c:pt idx="3">
                  <c:v>5.1858468154199997</c:v>
                </c:pt>
                <c:pt idx="4">
                  <c:v>5.7001271977599997</c:v>
                </c:pt>
                <c:pt idx="5">
                  <c:v>3.7333649342699999</c:v>
                </c:pt>
                <c:pt idx="6">
                  <c:v>3.49110906714</c:v>
                </c:pt>
                <c:pt idx="7">
                  <c:v>2.9433493890199998</c:v>
                </c:pt>
                <c:pt idx="8">
                  <c:v>1.90160742921</c:v>
                </c:pt>
                <c:pt idx="9">
                  <c:v>1.67935063447</c:v>
                </c:pt>
                <c:pt idx="10">
                  <c:v>1.5791576282400002</c:v>
                </c:pt>
                <c:pt idx="11">
                  <c:v>1.50037669104</c:v>
                </c:pt>
                <c:pt idx="12">
                  <c:v>2.5409999999999999</c:v>
                </c:pt>
                <c:pt idx="13">
                  <c:v>3.3937676941800001</c:v>
                </c:pt>
                <c:pt idx="14">
                  <c:v>2.84425213993</c:v>
                </c:pt>
                <c:pt idx="15">
                  <c:v>5.2312047580499996</c:v>
                </c:pt>
                <c:pt idx="16">
                  <c:v>8.4942313174499997</c:v>
                </c:pt>
                <c:pt idx="17">
                  <c:v>24.572432719799998</c:v>
                </c:pt>
                <c:pt idx="18">
                  <c:v>178.43819999999999</c:v>
                </c:pt>
                <c:pt idx="19">
                  <c:v>826.75670000000002</c:v>
                </c:pt>
                <c:pt idx="20">
                  <c:v>5447.1749</c:v>
                </c:pt>
              </c:numCache>
            </c:numRef>
          </c:yVal>
        </c:ser>
        <c:ser>
          <c:idx val="9"/>
          <c:order val="9"/>
          <c:tx>
            <c:v>PICO Open V3D corrected 10dB low band</c:v>
          </c:tx>
          <c:xVal>
            <c:numRef>
              <c:f>Weights!$AA$5:$AA$25</c:f>
              <c:numCache>
                <c:formatCode>General</c:formatCode>
                <c:ptCount val="21"/>
                <c:pt idx="0">
                  <c:v>21</c:v>
                </c:pt>
                <c:pt idx="1">
                  <c:v>25</c:v>
                </c:pt>
                <c:pt idx="2" formatCode="0">
                  <c:v>30</c:v>
                </c:pt>
                <c:pt idx="3" formatCode="0">
                  <c:v>36</c:v>
                </c:pt>
                <c:pt idx="4" formatCode="0">
                  <c:v>43.199999999999996</c:v>
                </c:pt>
                <c:pt idx="5" formatCode="0">
                  <c:v>51.839999999999996</c:v>
                </c:pt>
                <c:pt idx="6" formatCode="0">
                  <c:v>62.207999999999991</c:v>
                </c:pt>
                <c:pt idx="7" formatCode="0">
                  <c:v>74.649599999999992</c:v>
                </c:pt>
                <c:pt idx="8" formatCode="0">
                  <c:v>89.579519999999988</c:v>
                </c:pt>
                <c:pt idx="9" formatCode="0">
                  <c:v>107.49542399999999</c:v>
                </c:pt>
                <c:pt idx="10" formatCode="0">
                  <c:v>128.99450879999998</c:v>
                </c:pt>
                <c:pt idx="11" formatCode="0">
                  <c:v>154.79341055999996</c:v>
                </c:pt>
                <c:pt idx="12" formatCode="0">
                  <c:v>185.75209267199995</c:v>
                </c:pt>
                <c:pt idx="13" formatCode="0">
                  <c:v>222.90251120639994</c:v>
                </c:pt>
                <c:pt idx="14" formatCode="0">
                  <c:v>267.48301344767992</c:v>
                </c:pt>
                <c:pt idx="15" formatCode="0">
                  <c:v>320.97961613721588</c:v>
                </c:pt>
                <c:pt idx="16" formatCode="0">
                  <c:v>385.17553936465907</c:v>
                </c:pt>
                <c:pt idx="17" formatCode="0">
                  <c:v>462.21064723759088</c:v>
                </c:pt>
                <c:pt idx="18" formatCode="0">
                  <c:v>554.65277668510907</c:v>
                </c:pt>
                <c:pt idx="19" formatCode="0">
                  <c:v>665.58333202213089</c:v>
                </c:pt>
                <c:pt idx="20" formatCode="0">
                  <c:v>798.69999842655704</c:v>
                </c:pt>
              </c:numCache>
            </c:numRef>
          </c:xVal>
          <c:yVal>
            <c:numRef>
              <c:f>Weights!$AJ$61:$AJ$81</c:f>
              <c:numCache>
                <c:formatCode>0.0</c:formatCode>
                <c:ptCount val="21"/>
                <c:pt idx="0">
                  <c:v>14.147812456400001</c:v>
                </c:pt>
                <c:pt idx="1">
                  <c:v>8.8050560751499987</c:v>
                </c:pt>
                <c:pt idx="2">
                  <c:v>9.9243910375300004</c:v>
                </c:pt>
                <c:pt idx="3">
                  <c:v>6.1920000000000002</c:v>
                </c:pt>
                <c:pt idx="4">
                  <c:v>8.2981705362200007</c:v>
                </c:pt>
                <c:pt idx="5">
                  <c:v>5.2210580268299998</c:v>
                </c:pt>
                <c:pt idx="6">
                  <c:v>3.1098904272400003</c:v>
                </c:pt>
                <c:pt idx="7">
                  <c:v>2.6224324749600001</c:v>
                </c:pt>
                <c:pt idx="8">
                  <c:v>2.36682448571</c:v>
                </c:pt>
                <c:pt idx="9">
                  <c:v>2.0704365309899999</c:v>
                </c:pt>
                <c:pt idx="10">
                  <c:v>2.2572839170000001</c:v>
                </c:pt>
                <c:pt idx="11">
                  <c:v>2.117</c:v>
                </c:pt>
                <c:pt idx="12">
                  <c:v>2.45205639419</c:v>
                </c:pt>
                <c:pt idx="13">
                  <c:v>3.36621269778</c:v>
                </c:pt>
                <c:pt idx="14">
                  <c:v>3.6337160971000002</c:v>
                </c:pt>
                <c:pt idx="15">
                  <c:v>6.8177589794799998</c:v>
                </c:pt>
                <c:pt idx="16">
                  <c:v>12.028266637</c:v>
                </c:pt>
                <c:pt idx="17">
                  <c:v>34.909622943199999</c:v>
                </c:pt>
                <c:pt idx="18">
                  <c:v>252.34969999999998</c:v>
                </c:pt>
                <c:pt idx="19">
                  <c:v>1169.2104999999999</c:v>
                </c:pt>
                <c:pt idx="20">
                  <c:v>7703.4686999999994</c:v>
                </c:pt>
              </c:numCache>
            </c:numRef>
          </c:yVal>
        </c:ser>
        <c:axId val="67430272"/>
        <c:axId val="67432448"/>
      </c:scatterChart>
      <c:valAx>
        <c:axId val="67430272"/>
        <c:scaling>
          <c:orientation val="minMax"/>
          <c:max val="500"/>
        </c:scaling>
        <c:axPos val="b"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Frequency (GHz)</a:t>
                </a:r>
              </a:p>
            </c:rich>
          </c:tx>
        </c:title>
        <c:numFmt formatCode="General" sourceLinked="1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67432448"/>
        <c:crosses val="autoZero"/>
        <c:crossBetween val="midCat"/>
      </c:valAx>
      <c:valAx>
        <c:axId val="67432448"/>
        <c:scaling>
          <c:logBase val="10"/>
          <c:orientation val="minMax"/>
          <c:max val="10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Noise (uK</a:t>
                </a:r>
                <a:r>
                  <a:rPr lang="en-US" sz="1800" baseline="0"/>
                  <a:t> * arcmin)</a:t>
                </a:r>
                <a:endParaRPr lang="en-US" sz="1800"/>
              </a:p>
            </c:rich>
          </c:tx>
        </c:title>
        <c:numFmt formatCode="General" sourceLinked="1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67430272"/>
        <c:crosses val="autoZero"/>
        <c:crossBetween val="midCat"/>
        <c:minorUnit val="10"/>
      </c:valAx>
    </c:plotArea>
    <c:legend>
      <c:legendPos val="r"/>
      <c:layout>
        <c:manualLayout>
          <c:xMode val="edge"/>
          <c:yMode val="edge"/>
          <c:x val="0.3062147524038013"/>
          <c:y val="4.8696888215154867E-2"/>
          <c:w val="0.30169678263335531"/>
          <c:h val="0.55299925841934583"/>
        </c:manualLayout>
      </c:layout>
      <c:spPr>
        <a:solidFill>
          <a:schemeClr val="bg1"/>
        </a:solidFill>
        <a:ln>
          <a:solidFill>
            <a:srgbClr val="FF6600"/>
          </a:solidFill>
        </a:ln>
      </c:spPr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gap"/>
  </c:chart>
  <c:printSettings>
    <c:headerFooter/>
    <c:pageMargins b="1" l="0.75000000000000089" r="0.75000000000000089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Weights</a:t>
            </a:r>
          </a:p>
        </c:rich>
      </c:tx>
    </c:title>
    <c:plotArea>
      <c:layout>
        <c:manualLayout>
          <c:layoutTarget val="inner"/>
          <c:xMode val="edge"/>
          <c:yMode val="edge"/>
          <c:x val="0.17757130897929024"/>
          <c:y val="0.11979695431472102"/>
          <c:w val="0.74246072091527759"/>
          <c:h val="0.73057556257244505"/>
        </c:manualLayout>
      </c:layout>
      <c:scatterChart>
        <c:scatterStyle val="lineMarker"/>
        <c:ser>
          <c:idx val="5"/>
          <c:order val="0"/>
          <c:tx>
            <c:v>PICO Open 140 cm, 4 K stop, 30 K primary</c:v>
          </c:tx>
          <c:xVal>
            <c:numRef>
              <c:f>Weights!$AA$5:$AA$25</c:f>
              <c:numCache>
                <c:formatCode>General</c:formatCode>
                <c:ptCount val="21"/>
                <c:pt idx="0">
                  <c:v>21</c:v>
                </c:pt>
                <c:pt idx="1">
                  <c:v>25</c:v>
                </c:pt>
                <c:pt idx="2" formatCode="0">
                  <c:v>30</c:v>
                </c:pt>
                <c:pt idx="3" formatCode="0">
                  <c:v>36</c:v>
                </c:pt>
                <c:pt idx="4" formatCode="0">
                  <c:v>43.199999999999996</c:v>
                </c:pt>
                <c:pt idx="5" formatCode="0">
                  <c:v>51.839999999999996</c:v>
                </c:pt>
                <c:pt idx="6" formatCode="0">
                  <c:v>62.207999999999991</c:v>
                </c:pt>
                <c:pt idx="7" formatCode="0">
                  <c:v>74.649599999999992</c:v>
                </c:pt>
                <c:pt idx="8" formatCode="0">
                  <c:v>89.579519999999988</c:v>
                </c:pt>
                <c:pt idx="9" formatCode="0">
                  <c:v>107.49542399999999</c:v>
                </c:pt>
                <c:pt idx="10" formatCode="0">
                  <c:v>128.99450879999998</c:v>
                </c:pt>
                <c:pt idx="11" formatCode="0">
                  <c:v>154.79341055999996</c:v>
                </c:pt>
                <c:pt idx="12" formatCode="0">
                  <c:v>185.75209267199995</c:v>
                </c:pt>
                <c:pt idx="13" formatCode="0">
                  <c:v>222.90251120639994</c:v>
                </c:pt>
                <c:pt idx="14" formatCode="0">
                  <c:v>267.48301344767992</c:v>
                </c:pt>
                <c:pt idx="15" formatCode="0">
                  <c:v>320.97961613721588</c:v>
                </c:pt>
                <c:pt idx="16" formatCode="0">
                  <c:v>385.17553936465907</c:v>
                </c:pt>
                <c:pt idx="17" formatCode="0">
                  <c:v>462.21064723759088</c:v>
                </c:pt>
                <c:pt idx="18" formatCode="0">
                  <c:v>554.65277668510907</c:v>
                </c:pt>
                <c:pt idx="19" formatCode="0">
                  <c:v>665.58333202213089</c:v>
                </c:pt>
                <c:pt idx="20" formatCode="0">
                  <c:v>798.69999842655704</c:v>
                </c:pt>
              </c:numCache>
            </c:numRef>
          </c:xVal>
          <c:yVal>
            <c:numRef>
              <c:f>Weights!$AC$5:$AC$25</c:f>
              <c:numCache>
                <c:formatCode>0.0</c:formatCode>
                <c:ptCount val="21"/>
                <c:pt idx="0">
                  <c:v>14.147812456400001</c:v>
                </c:pt>
                <c:pt idx="1">
                  <c:v>8.8050560751499987</c:v>
                </c:pt>
                <c:pt idx="2">
                  <c:v>9.9243910375300004</c:v>
                </c:pt>
                <c:pt idx="3">
                  <c:v>6.1920000000000002</c:v>
                </c:pt>
                <c:pt idx="4">
                  <c:v>8.2981705362200007</c:v>
                </c:pt>
                <c:pt idx="5">
                  <c:v>5.2210580268299998</c:v>
                </c:pt>
                <c:pt idx="6">
                  <c:v>3.1098904272400003</c:v>
                </c:pt>
                <c:pt idx="7">
                  <c:v>2.6224324749600001</c:v>
                </c:pt>
                <c:pt idx="8">
                  <c:v>2.36682448571</c:v>
                </c:pt>
                <c:pt idx="9">
                  <c:v>2.0704365309899999</c:v>
                </c:pt>
                <c:pt idx="10">
                  <c:v>2.2572839170000001</c:v>
                </c:pt>
                <c:pt idx="11">
                  <c:v>2.117</c:v>
                </c:pt>
                <c:pt idx="12">
                  <c:v>2.45205639419</c:v>
                </c:pt>
                <c:pt idx="13">
                  <c:v>3.36621269778</c:v>
                </c:pt>
                <c:pt idx="14">
                  <c:v>3.6337160971000002</c:v>
                </c:pt>
                <c:pt idx="15">
                  <c:v>6.8177589794799998</c:v>
                </c:pt>
                <c:pt idx="16">
                  <c:v>12.028266637</c:v>
                </c:pt>
                <c:pt idx="17">
                  <c:v>34.909622943199999</c:v>
                </c:pt>
                <c:pt idx="18">
                  <c:v>252.34969999999998</c:v>
                </c:pt>
                <c:pt idx="19">
                  <c:v>1169.2104999999999</c:v>
                </c:pt>
                <c:pt idx="20">
                  <c:v>7703.4686999999994</c:v>
                </c:pt>
              </c:numCache>
            </c:numRef>
          </c:yVal>
        </c:ser>
        <c:ser>
          <c:idx val="7"/>
          <c:order val="1"/>
          <c:tx>
            <c:v>PICO Cross 120 cm, 30 K</c:v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triangle"/>
            <c:size val="8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</c:spPr>
          </c:marker>
          <c:xVal>
            <c:numRef>
              <c:f>Weights!$AA$5:$AA$25</c:f>
              <c:numCache>
                <c:formatCode>General</c:formatCode>
                <c:ptCount val="21"/>
                <c:pt idx="0">
                  <c:v>21</c:v>
                </c:pt>
                <c:pt idx="1">
                  <c:v>25</c:v>
                </c:pt>
                <c:pt idx="2" formatCode="0">
                  <c:v>30</c:v>
                </c:pt>
                <c:pt idx="3" formatCode="0">
                  <c:v>36</c:v>
                </c:pt>
                <c:pt idx="4" formatCode="0">
                  <c:v>43.199999999999996</c:v>
                </c:pt>
                <c:pt idx="5" formatCode="0">
                  <c:v>51.839999999999996</c:v>
                </c:pt>
                <c:pt idx="6" formatCode="0">
                  <c:v>62.207999999999991</c:v>
                </c:pt>
                <c:pt idx="7" formatCode="0">
                  <c:v>74.649599999999992</c:v>
                </c:pt>
                <c:pt idx="8" formatCode="0">
                  <c:v>89.579519999999988</c:v>
                </c:pt>
                <c:pt idx="9" formatCode="0">
                  <c:v>107.49542399999999</c:v>
                </c:pt>
                <c:pt idx="10" formatCode="0">
                  <c:v>128.99450879999998</c:v>
                </c:pt>
                <c:pt idx="11" formatCode="0">
                  <c:v>154.79341055999996</c:v>
                </c:pt>
                <c:pt idx="12" formatCode="0">
                  <c:v>185.75209267199995</c:v>
                </c:pt>
                <c:pt idx="13" formatCode="0">
                  <c:v>222.90251120639994</c:v>
                </c:pt>
                <c:pt idx="14" formatCode="0">
                  <c:v>267.48301344767992</c:v>
                </c:pt>
                <c:pt idx="15" formatCode="0">
                  <c:v>320.97961613721588</c:v>
                </c:pt>
                <c:pt idx="16" formatCode="0">
                  <c:v>385.17553936465907</c:v>
                </c:pt>
                <c:pt idx="17" formatCode="0">
                  <c:v>462.21064723759088</c:v>
                </c:pt>
                <c:pt idx="18" formatCode="0">
                  <c:v>554.65277668510907</c:v>
                </c:pt>
                <c:pt idx="19" formatCode="0">
                  <c:v>665.58333202213089</c:v>
                </c:pt>
                <c:pt idx="20" formatCode="0">
                  <c:v>798.69999842655704</c:v>
                </c:pt>
              </c:numCache>
            </c:numRef>
          </c:xVal>
          <c:yVal>
            <c:numRef>
              <c:f>Weights!$AM$33:$AM$53</c:f>
              <c:numCache>
                <c:formatCode>0.0</c:formatCode>
                <c:ptCount val="21"/>
                <c:pt idx="0">
                  <c:v>23.549625964699999</c:v>
                </c:pt>
                <c:pt idx="1">
                  <c:v>15.363765249200002</c:v>
                </c:pt>
                <c:pt idx="2">
                  <c:v>17.6039205135</c:v>
                </c:pt>
                <c:pt idx="3">
                  <c:v>11.477453564799999</c:v>
                </c:pt>
                <c:pt idx="4">
                  <c:v>14.991847703199999</c:v>
                </c:pt>
                <c:pt idx="5">
                  <c:v>9.8776547520999998</c:v>
                </c:pt>
                <c:pt idx="6">
                  <c:v>3.8680746063100004</c:v>
                </c:pt>
                <c:pt idx="7">
                  <c:v>3.31867800296</c:v>
                </c:pt>
                <c:pt idx="8">
                  <c:v>3.0709999999999997</c:v>
                </c:pt>
                <c:pt idx="9">
                  <c:v>2.7257538434800002</c:v>
                </c:pt>
                <c:pt idx="10">
                  <c:v>3.07578562056</c:v>
                </c:pt>
                <c:pt idx="11">
                  <c:v>2.9654010858000004</c:v>
                </c:pt>
                <c:pt idx="12">
                  <c:v>3.7623978685500004</c:v>
                </c:pt>
                <c:pt idx="13">
                  <c:v>5.6439100853099999</c:v>
                </c:pt>
                <c:pt idx="14">
                  <c:v>5.7029263381000002</c:v>
                </c:pt>
                <c:pt idx="15">
                  <c:v>11.3711392208</c:v>
                </c:pt>
                <c:pt idx="16">
                  <c:v>20.184850706799999</c:v>
                </c:pt>
                <c:pt idx="17">
                  <c:v>60.612765985400003</c:v>
                </c:pt>
                <c:pt idx="18">
                  <c:v>353.8349</c:v>
                </c:pt>
                <c:pt idx="19">
                  <c:v>1664.3808999999999</c:v>
                </c:pt>
                <c:pt idx="20">
                  <c:v>11171.262499999999</c:v>
                </c:pt>
              </c:numCache>
            </c:numRef>
          </c:yVal>
        </c:ser>
        <c:ser>
          <c:idx val="0"/>
          <c:order val="2"/>
          <c:tx>
            <c:v>PICO Open 50 cm, 4 K</c:v>
          </c:tx>
          <c:xVal>
            <c:numRef>
              <c:f>Weights!$AJ$89:$AJ$109</c:f>
              <c:numCache>
                <c:formatCode>General</c:formatCode>
                <c:ptCount val="21"/>
                <c:pt idx="0">
                  <c:v>21</c:v>
                </c:pt>
                <c:pt idx="1">
                  <c:v>25</c:v>
                </c:pt>
                <c:pt idx="2" formatCode="0">
                  <c:v>30</c:v>
                </c:pt>
                <c:pt idx="3" formatCode="0">
                  <c:v>36</c:v>
                </c:pt>
                <c:pt idx="4" formatCode="0">
                  <c:v>43.199999999999996</c:v>
                </c:pt>
                <c:pt idx="5" formatCode="0">
                  <c:v>51.839999999999996</c:v>
                </c:pt>
                <c:pt idx="6" formatCode="0">
                  <c:v>62.207999999999991</c:v>
                </c:pt>
                <c:pt idx="7" formatCode="0">
                  <c:v>74.649599999999992</c:v>
                </c:pt>
                <c:pt idx="8" formatCode="0">
                  <c:v>89.579519999999988</c:v>
                </c:pt>
                <c:pt idx="9" formatCode="0">
                  <c:v>107.49542399999999</c:v>
                </c:pt>
                <c:pt idx="10" formatCode="0">
                  <c:v>128.99450879999998</c:v>
                </c:pt>
                <c:pt idx="11" formatCode="0">
                  <c:v>154.79341055999996</c:v>
                </c:pt>
                <c:pt idx="12" formatCode="0">
                  <c:v>185.75209267199995</c:v>
                </c:pt>
                <c:pt idx="13" formatCode="0">
                  <c:v>222.90251120639994</c:v>
                </c:pt>
                <c:pt idx="14" formatCode="0">
                  <c:v>267.48301344767992</c:v>
                </c:pt>
                <c:pt idx="15" formatCode="0">
                  <c:v>320.97961613721588</c:v>
                </c:pt>
                <c:pt idx="16" formatCode="0">
                  <c:v>385.17553936465907</c:v>
                </c:pt>
                <c:pt idx="17" formatCode="0">
                  <c:v>462.21064723759088</c:v>
                </c:pt>
                <c:pt idx="18" formatCode="0">
                  <c:v>554.65277668510907</c:v>
                </c:pt>
                <c:pt idx="19" formatCode="0">
                  <c:v>665.58333202213089</c:v>
                </c:pt>
                <c:pt idx="20" formatCode="0">
                  <c:v>798.69999842655704</c:v>
                </c:pt>
              </c:numCache>
            </c:numRef>
          </c:xVal>
          <c:yVal>
            <c:numRef>
              <c:f>Weights!$AL$89:$AL$109</c:f>
              <c:numCache>
                <c:formatCode>General</c:formatCode>
                <c:ptCount val="21"/>
                <c:pt idx="0">
                  <c:v>22.644580329542318</c:v>
                </c:pt>
                <c:pt idx="1">
                  <c:v>13.394007326557306</c:v>
                </c:pt>
                <c:pt idx="2">
                  <c:v>16.610990620019816</c:v>
                </c:pt>
                <c:pt idx="3">
                  <c:v>9.8034711842870692</c:v>
                </c:pt>
                <c:pt idx="4">
                  <c:v>13.743611794977518</c:v>
                </c:pt>
                <c:pt idx="5">
                  <c:v>8.158909854136521</c:v>
                </c:pt>
                <c:pt idx="6">
                  <c:v>6.3269601857155431</c:v>
                </c:pt>
                <c:pt idx="7">
                  <c:v>5.5782911145063174</c:v>
                </c:pt>
                <c:pt idx="8">
                  <c:v>4.7929627398820926</c:v>
                </c:pt>
                <c:pt idx="9">
                  <c:v>4.3060571345259318</c:v>
                </c:pt>
                <c:pt idx="10">
                  <c:v>4.3069412044708981</c:v>
                </c:pt>
                <c:pt idx="11">
                  <c:v>4.025653872553514</c:v>
                </c:pt>
                <c:pt idx="12">
                  <c:v>4.0612145977307916</c:v>
                </c:pt>
                <c:pt idx="13">
                  <c:v>5.1745773653542235</c:v>
                </c:pt>
                <c:pt idx="14">
                  <c:v>4.1662520859083925</c:v>
                </c:pt>
                <c:pt idx="15">
                  <c:v>6.0243126273337584</c:v>
                </c:pt>
                <c:pt idx="16">
                  <c:v>6.864344887662611</c:v>
                </c:pt>
                <c:pt idx="17">
                  <c:v>12.499216866716703</c:v>
                </c:pt>
                <c:pt idx="18">
                  <c:v>54.54345258</c:v>
                </c:pt>
                <c:pt idx="19">
                  <c:v>150.0899702969927</c:v>
                </c:pt>
                <c:pt idx="20">
                  <c:v>475.06060411130761</c:v>
                </c:pt>
              </c:numCache>
            </c:numRef>
          </c:yVal>
        </c:ser>
        <c:ser>
          <c:idx val="1"/>
          <c:order val="3"/>
          <c:tx>
            <c:v>PICO Crossed 50 cm, 30 K</c:v>
          </c:tx>
          <c:xVal>
            <c:numRef>
              <c:f>Weights!$AJ$89:$AJ$109</c:f>
              <c:numCache>
                <c:formatCode>General</c:formatCode>
                <c:ptCount val="21"/>
                <c:pt idx="0">
                  <c:v>21</c:v>
                </c:pt>
                <c:pt idx="1">
                  <c:v>25</c:v>
                </c:pt>
                <c:pt idx="2" formatCode="0">
                  <c:v>30</c:v>
                </c:pt>
                <c:pt idx="3" formatCode="0">
                  <c:v>36</c:v>
                </c:pt>
                <c:pt idx="4" formatCode="0">
                  <c:v>43.199999999999996</c:v>
                </c:pt>
                <c:pt idx="5" formatCode="0">
                  <c:v>51.839999999999996</c:v>
                </c:pt>
                <c:pt idx="6" formatCode="0">
                  <c:v>62.207999999999991</c:v>
                </c:pt>
                <c:pt idx="7" formatCode="0">
                  <c:v>74.649599999999992</c:v>
                </c:pt>
                <c:pt idx="8" formatCode="0">
                  <c:v>89.579519999999988</c:v>
                </c:pt>
                <c:pt idx="9" formatCode="0">
                  <c:v>107.49542399999999</c:v>
                </c:pt>
                <c:pt idx="10" formatCode="0">
                  <c:v>128.99450879999998</c:v>
                </c:pt>
                <c:pt idx="11" formatCode="0">
                  <c:v>154.79341055999996</c:v>
                </c:pt>
                <c:pt idx="12" formatCode="0">
                  <c:v>185.75209267199995</c:v>
                </c:pt>
                <c:pt idx="13" formatCode="0">
                  <c:v>222.90251120639994</c:v>
                </c:pt>
                <c:pt idx="14" formatCode="0">
                  <c:v>267.48301344767992</c:v>
                </c:pt>
                <c:pt idx="15" formatCode="0">
                  <c:v>320.97961613721588</c:v>
                </c:pt>
                <c:pt idx="16" formatCode="0">
                  <c:v>385.17553936465907</c:v>
                </c:pt>
                <c:pt idx="17" formatCode="0">
                  <c:v>462.21064723759088</c:v>
                </c:pt>
                <c:pt idx="18" formatCode="0">
                  <c:v>554.65277668510907</c:v>
                </c:pt>
                <c:pt idx="19" formatCode="0">
                  <c:v>665.58333202213089</c:v>
                </c:pt>
                <c:pt idx="20" formatCode="0">
                  <c:v>798.69999842655704</c:v>
                </c:pt>
              </c:numCache>
            </c:numRef>
          </c:xVal>
          <c:yVal>
            <c:numRef>
              <c:f>Weights!$AN$89:$AN$109</c:f>
              <c:numCache>
                <c:formatCode>General</c:formatCode>
                <c:ptCount val="21"/>
                <c:pt idx="0">
                  <c:v>30.205232988756126</c:v>
                </c:pt>
                <c:pt idx="1">
                  <c:v>22.011514142246813</c:v>
                </c:pt>
                <c:pt idx="2">
                  <c:v>24.855190663471845</c:v>
                </c:pt>
                <c:pt idx="3">
                  <c:v>18.116689747387923</c:v>
                </c:pt>
                <c:pt idx="4">
                  <c:v>21.198376936117793</c:v>
                </c:pt>
                <c:pt idx="5">
                  <c:v>15.615515285359661</c:v>
                </c:pt>
                <c:pt idx="6">
                  <c:v>5.4788869554408066</c:v>
                </c:pt>
                <c:pt idx="7">
                  <c:v>4.3651517367721402</c:v>
                </c:pt>
                <c:pt idx="8">
                  <c:v>4.8457062102911754</c:v>
                </c:pt>
                <c:pt idx="9">
                  <c:v>4.0124499506111668</c:v>
                </c:pt>
                <c:pt idx="10">
                  <c:v>4.862489924838278</c:v>
                </c:pt>
                <c:pt idx="11">
                  <c:v>4.3741357126712179</c:v>
                </c:pt>
                <c:pt idx="12">
                  <c:v>4.2701014340781516</c:v>
                </c:pt>
                <c:pt idx="13">
                  <c:v>6.5635086123461841</c:v>
                </c:pt>
                <c:pt idx="14">
                  <c:v>7.5615992266745788</c:v>
                </c:pt>
                <c:pt idx="15">
                  <c:v>15.579259095602875</c:v>
                </c:pt>
                <c:pt idx="16">
                  <c:v>26.844179265079955</c:v>
                </c:pt>
                <c:pt idx="17">
                  <c:v>83.291317842714506</c:v>
                </c:pt>
                <c:pt idx="18">
                  <c:v>612.52361454656568</c:v>
                </c:pt>
                <c:pt idx="19">
                  <c:v>3143.4274981382796</c:v>
                </c:pt>
                <c:pt idx="20">
                  <c:v>24152.690482999264</c:v>
                </c:pt>
              </c:numCache>
            </c:numRef>
          </c:yVal>
        </c:ser>
        <c:ser>
          <c:idx val="3"/>
          <c:order val="4"/>
          <c:tx>
            <c:v>PICO Open 140 cm, optimized mirrors, 10 dB at low band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x"/>
            <c:size val="9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xVal>
            <c:numRef>
              <c:f>Weights!$AA$5:$AA$25</c:f>
              <c:numCache>
                <c:formatCode>General</c:formatCode>
                <c:ptCount val="21"/>
                <c:pt idx="0">
                  <c:v>21</c:v>
                </c:pt>
                <c:pt idx="1">
                  <c:v>25</c:v>
                </c:pt>
                <c:pt idx="2" formatCode="0">
                  <c:v>30</c:v>
                </c:pt>
                <c:pt idx="3" formatCode="0">
                  <c:v>36</c:v>
                </c:pt>
                <c:pt idx="4" formatCode="0">
                  <c:v>43.199999999999996</c:v>
                </c:pt>
                <c:pt idx="5" formatCode="0">
                  <c:v>51.839999999999996</c:v>
                </c:pt>
                <c:pt idx="6" formatCode="0">
                  <c:v>62.207999999999991</c:v>
                </c:pt>
                <c:pt idx="7" formatCode="0">
                  <c:v>74.649599999999992</c:v>
                </c:pt>
                <c:pt idx="8" formatCode="0">
                  <c:v>89.579519999999988</c:v>
                </c:pt>
                <c:pt idx="9" formatCode="0">
                  <c:v>107.49542399999999</c:v>
                </c:pt>
                <c:pt idx="10" formatCode="0">
                  <c:v>128.99450879999998</c:v>
                </c:pt>
                <c:pt idx="11" formatCode="0">
                  <c:v>154.79341055999996</c:v>
                </c:pt>
                <c:pt idx="12" formatCode="0">
                  <c:v>185.75209267199995</c:v>
                </c:pt>
                <c:pt idx="13" formatCode="0">
                  <c:v>222.90251120639994</c:v>
                </c:pt>
                <c:pt idx="14" formatCode="0">
                  <c:v>267.48301344767992</c:v>
                </c:pt>
                <c:pt idx="15" formatCode="0">
                  <c:v>320.97961613721588</c:v>
                </c:pt>
                <c:pt idx="16" formatCode="0">
                  <c:v>385.17553936465907</c:v>
                </c:pt>
                <c:pt idx="17" formatCode="0">
                  <c:v>462.21064723759088</c:v>
                </c:pt>
                <c:pt idx="18" formatCode="0">
                  <c:v>554.65277668510907</c:v>
                </c:pt>
                <c:pt idx="19" formatCode="0">
                  <c:v>665.58333202213089</c:v>
                </c:pt>
                <c:pt idx="20" formatCode="0">
                  <c:v>798.69999842655704</c:v>
                </c:pt>
              </c:numCache>
            </c:numRef>
          </c:xVal>
          <c:yVal>
            <c:numRef>
              <c:f>Weights!$AJ$61:$AJ$81</c:f>
              <c:numCache>
                <c:formatCode>0.0</c:formatCode>
                <c:ptCount val="21"/>
                <c:pt idx="0">
                  <c:v>14.147812456400001</c:v>
                </c:pt>
                <c:pt idx="1">
                  <c:v>8.8050560751499987</c:v>
                </c:pt>
                <c:pt idx="2">
                  <c:v>9.9243910375300004</c:v>
                </c:pt>
                <c:pt idx="3">
                  <c:v>6.1920000000000002</c:v>
                </c:pt>
                <c:pt idx="4">
                  <c:v>8.2981705362200007</c:v>
                </c:pt>
                <c:pt idx="5">
                  <c:v>5.2210580268299998</c:v>
                </c:pt>
                <c:pt idx="6">
                  <c:v>3.1098904272400003</c:v>
                </c:pt>
                <c:pt idx="7">
                  <c:v>2.6224324749600001</c:v>
                </c:pt>
                <c:pt idx="8">
                  <c:v>2.36682448571</c:v>
                </c:pt>
                <c:pt idx="9">
                  <c:v>2.0704365309899999</c:v>
                </c:pt>
                <c:pt idx="10">
                  <c:v>2.2572839170000001</c:v>
                </c:pt>
                <c:pt idx="11">
                  <c:v>2.117</c:v>
                </c:pt>
                <c:pt idx="12">
                  <c:v>2.45205639419</c:v>
                </c:pt>
                <c:pt idx="13">
                  <c:v>3.36621269778</c:v>
                </c:pt>
                <c:pt idx="14">
                  <c:v>3.6337160971000002</c:v>
                </c:pt>
                <c:pt idx="15">
                  <c:v>6.8177589794799998</c:v>
                </c:pt>
                <c:pt idx="16">
                  <c:v>12.028266637</c:v>
                </c:pt>
                <c:pt idx="17">
                  <c:v>34.909622943199999</c:v>
                </c:pt>
                <c:pt idx="18">
                  <c:v>252.34969999999998</c:v>
                </c:pt>
                <c:pt idx="19">
                  <c:v>1169.2104999999999</c:v>
                </c:pt>
                <c:pt idx="20">
                  <c:v>7703.4686999999994</c:v>
                </c:pt>
              </c:numCache>
            </c:numRef>
          </c:yVal>
        </c:ser>
        <c:ser>
          <c:idx val="2"/>
          <c:order val="5"/>
          <c:tx>
            <c:v>PICO Open 140 cm, optimized mirrors, 10 dB at middle band</c:v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noFill/>
              </a:ln>
            </c:spPr>
          </c:marker>
          <c:xVal>
            <c:numRef>
              <c:f>Weights!$AA$5:$AA$25</c:f>
              <c:numCache>
                <c:formatCode>General</c:formatCode>
                <c:ptCount val="21"/>
                <c:pt idx="0">
                  <c:v>21</c:v>
                </c:pt>
                <c:pt idx="1">
                  <c:v>25</c:v>
                </c:pt>
                <c:pt idx="2" formatCode="0">
                  <c:v>30</c:v>
                </c:pt>
                <c:pt idx="3" formatCode="0">
                  <c:v>36</c:v>
                </c:pt>
                <c:pt idx="4" formatCode="0">
                  <c:v>43.199999999999996</c:v>
                </c:pt>
                <c:pt idx="5" formatCode="0">
                  <c:v>51.839999999999996</c:v>
                </c:pt>
                <c:pt idx="6" formatCode="0">
                  <c:v>62.207999999999991</c:v>
                </c:pt>
                <c:pt idx="7" formatCode="0">
                  <c:v>74.649599999999992</c:v>
                </c:pt>
                <c:pt idx="8" formatCode="0">
                  <c:v>89.579519999999988</c:v>
                </c:pt>
                <c:pt idx="9" formatCode="0">
                  <c:v>107.49542399999999</c:v>
                </c:pt>
                <c:pt idx="10" formatCode="0">
                  <c:v>128.99450879999998</c:v>
                </c:pt>
                <c:pt idx="11" formatCode="0">
                  <c:v>154.79341055999996</c:v>
                </c:pt>
                <c:pt idx="12" formatCode="0">
                  <c:v>185.75209267199995</c:v>
                </c:pt>
                <c:pt idx="13" formatCode="0">
                  <c:v>222.90251120639994</c:v>
                </c:pt>
                <c:pt idx="14" formatCode="0">
                  <c:v>267.48301344767992</c:v>
                </c:pt>
                <c:pt idx="15" formatCode="0">
                  <c:v>320.97961613721588</c:v>
                </c:pt>
                <c:pt idx="16" formatCode="0">
                  <c:v>385.17553936465907</c:v>
                </c:pt>
                <c:pt idx="17" formatCode="0">
                  <c:v>462.21064723759088</c:v>
                </c:pt>
                <c:pt idx="18" formatCode="0">
                  <c:v>554.65277668510907</c:v>
                </c:pt>
                <c:pt idx="19" formatCode="0">
                  <c:v>665.58333202213089</c:v>
                </c:pt>
                <c:pt idx="20" formatCode="0">
                  <c:v>798.69999842655704</c:v>
                </c:pt>
              </c:numCache>
            </c:numRef>
          </c:xVal>
          <c:yVal>
            <c:numRef>
              <c:f>Weights!$AP$61:$AP$81</c:f>
              <c:numCache>
                <c:formatCode>0.0</c:formatCode>
                <c:ptCount val="21"/>
                <c:pt idx="0">
                  <c:v>16.631702961000002</c:v>
                </c:pt>
                <c:pt idx="1">
                  <c:v>10.6608314766</c:v>
                </c:pt>
                <c:pt idx="2">
                  <c:v>8.0192304120699998</c:v>
                </c:pt>
                <c:pt idx="3">
                  <c:v>5.1858468154199997</c:v>
                </c:pt>
                <c:pt idx="4">
                  <c:v>5.7001271977599997</c:v>
                </c:pt>
                <c:pt idx="5">
                  <c:v>3.7333649342699999</c:v>
                </c:pt>
                <c:pt idx="6">
                  <c:v>3.49110906714</c:v>
                </c:pt>
                <c:pt idx="7">
                  <c:v>2.9433493890199998</c:v>
                </c:pt>
                <c:pt idx="8">
                  <c:v>1.90160742921</c:v>
                </c:pt>
                <c:pt idx="9">
                  <c:v>1.67935063447</c:v>
                </c:pt>
                <c:pt idx="10">
                  <c:v>1.5791576282400002</c:v>
                </c:pt>
                <c:pt idx="11">
                  <c:v>1.50037669104</c:v>
                </c:pt>
                <c:pt idx="12">
                  <c:v>2.5409999999999999</c:v>
                </c:pt>
                <c:pt idx="13">
                  <c:v>3.3937676941800001</c:v>
                </c:pt>
                <c:pt idx="14">
                  <c:v>2.84425213993</c:v>
                </c:pt>
                <c:pt idx="15">
                  <c:v>5.2312047580499996</c:v>
                </c:pt>
                <c:pt idx="16">
                  <c:v>8.4942313174499997</c:v>
                </c:pt>
                <c:pt idx="17">
                  <c:v>24.572432719799998</c:v>
                </c:pt>
                <c:pt idx="18">
                  <c:v>178.43819999999999</c:v>
                </c:pt>
                <c:pt idx="19">
                  <c:v>826.75670000000002</c:v>
                </c:pt>
                <c:pt idx="20">
                  <c:v>5447.1749</c:v>
                </c:pt>
              </c:numCache>
            </c:numRef>
          </c:yVal>
        </c:ser>
        <c:ser>
          <c:idx val="4"/>
          <c:order val="6"/>
          <c:tx>
            <c:v>PICO Open 140 cm, optimized, non-overlapping bands, 10 dB at mid band</c:v>
          </c:tx>
          <c:xVal>
            <c:numRef>
              <c:f>Weights!$AG$116:$AG$135</c:f>
              <c:numCache>
                <c:formatCode>General</c:formatCode>
                <c:ptCount val="20"/>
                <c:pt idx="0">
                  <c:v>20</c:v>
                </c:pt>
                <c:pt idx="1">
                  <c:v>24.3</c:v>
                </c:pt>
                <c:pt idx="2" formatCode="0">
                  <c:v>29.5245</c:v>
                </c:pt>
                <c:pt idx="3" formatCode="0">
                  <c:v>35.8722675</c:v>
                </c:pt>
                <c:pt idx="4" formatCode="0">
                  <c:v>43.584805012499999</c:v>
                </c:pt>
                <c:pt idx="5" formatCode="0">
                  <c:v>52.955538090200001</c:v>
                </c:pt>
                <c:pt idx="6" formatCode="0">
                  <c:v>64.340978779599993</c:v>
                </c:pt>
                <c:pt idx="7" formatCode="0">
                  <c:v>78.174289217199998</c:v>
                </c:pt>
                <c:pt idx="8" formatCode="0">
                  <c:v>94.981761398900005</c:v>
                </c:pt>
                <c:pt idx="9" formatCode="0">
                  <c:v>115.40284010000001</c:v>
                </c:pt>
                <c:pt idx="10" formatCode="0">
                  <c:v>140.21445072099999</c:v>
                </c:pt>
                <c:pt idx="11" formatCode="0">
                  <c:v>170.360557626</c:v>
                </c:pt>
                <c:pt idx="12" formatCode="0">
                  <c:v>206.988077516</c:v>
                </c:pt>
                <c:pt idx="13" formatCode="0">
                  <c:v>251.490514182</c:v>
                </c:pt>
                <c:pt idx="14" formatCode="0">
                  <c:v>305.56097473099999</c:v>
                </c:pt>
                <c:pt idx="15" formatCode="0">
                  <c:v>371.25658429800001</c:v>
                </c:pt>
                <c:pt idx="16" formatCode="0">
                  <c:v>451.07674992199998</c:v>
                </c:pt>
                <c:pt idx="17" formatCode="0">
                  <c:v>548.05825115499999</c:v>
                </c:pt>
                <c:pt idx="18" formatCode="0">
                  <c:v>665.89077515300005</c:v>
                </c:pt>
                <c:pt idx="19" formatCode="0">
                  <c:v>809.05729181100003</c:v>
                </c:pt>
              </c:numCache>
            </c:numRef>
          </c:xVal>
          <c:yVal>
            <c:numRef>
              <c:f>Weights!$AK$116:$AK$135</c:f>
              <c:numCache>
                <c:formatCode>0.00E+00</c:formatCode>
                <c:ptCount val="20"/>
                <c:pt idx="0">
                  <c:v>15.893583807599999</c:v>
                </c:pt>
                <c:pt idx="1">
                  <c:v>11.2021270924</c:v>
                </c:pt>
                <c:pt idx="2">
                  <c:v>8.8437345712299997</c:v>
                </c:pt>
                <c:pt idx="3">
                  <c:v>8.4015975862700003</c:v>
                </c:pt>
                <c:pt idx="4">
                  <c:v>6.0359307927999994</c:v>
                </c:pt>
                <c:pt idx="5">
                  <c:v>4.8635949217999999</c:v>
                </c:pt>
                <c:pt idx="6">
                  <c:v>3.3859999999999997</c:v>
                </c:pt>
                <c:pt idx="7">
                  <c:v>2.5348164828599997</c:v>
                </c:pt>
                <c:pt idx="8">
                  <c:v>2.14075110416</c:v>
                </c:pt>
                <c:pt idx="9">
                  <c:v>2.4449999999999998</c:v>
                </c:pt>
                <c:pt idx="10">
                  <c:v>2.0277092459100001</c:v>
                </c:pt>
                <c:pt idx="11">
                  <c:v>1.9604359660700001</c:v>
                </c:pt>
                <c:pt idx="12">
                  <c:v>2.7597812906300003</c:v>
                </c:pt>
                <c:pt idx="13">
                  <c:v>3.09620500093</c:v>
                </c:pt>
                <c:pt idx="14">
                  <c:v>4.5808319048500001</c:v>
                </c:pt>
                <c:pt idx="15">
                  <c:v>12.3343121898</c:v>
                </c:pt>
                <c:pt idx="16">
                  <c:v>29.059852976799998</c:v>
                </c:pt>
                <c:pt idx="17">
                  <c:v>99.721527369399993</c:v>
                </c:pt>
                <c:pt idx="18">
                  <c:v>1134.3220999999999</c:v>
                </c:pt>
                <c:pt idx="19">
                  <c:v>9204.2896999999994</c:v>
                </c:pt>
              </c:numCache>
            </c:numRef>
          </c:yVal>
        </c:ser>
        <c:axId val="67816448"/>
        <c:axId val="67835008"/>
      </c:scatterChart>
      <c:valAx>
        <c:axId val="67816448"/>
        <c:scaling>
          <c:orientation val="minMax"/>
          <c:max val="500"/>
        </c:scaling>
        <c:axPos val="b"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Frequency (GHz)</a:t>
                </a:r>
              </a:p>
            </c:rich>
          </c:tx>
        </c:title>
        <c:numFmt formatCode="General" sourceLinked="1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67835008"/>
        <c:crosses val="autoZero"/>
        <c:crossBetween val="midCat"/>
      </c:valAx>
      <c:valAx>
        <c:axId val="67835008"/>
        <c:scaling>
          <c:logBase val="10"/>
          <c:orientation val="minMax"/>
          <c:max val="10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Noise (uK</a:t>
                </a:r>
                <a:r>
                  <a:rPr lang="en-US" sz="1800" baseline="0"/>
                  <a:t> * arcmin)</a:t>
                </a:r>
                <a:endParaRPr lang="en-US" sz="1800"/>
              </a:p>
            </c:rich>
          </c:tx>
        </c:title>
        <c:numFmt formatCode="0.0" sourceLinked="1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67816448"/>
        <c:crosses val="autoZero"/>
        <c:crossBetween val="midCat"/>
        <c:minorUnit val="10"/>
      </c:valAx>
    </c:plotArea>
    <c:legend>
      <c:legendPos val="r"/>
      <c:layout>
        <c:manualLayout>
          <c:xMode val="edge"/>
          <c:yMode val="edge"/>
          <c:x val="0.29483520129171492"/>
          <c:y val="0.14988737216643114"/>
          <c:w val="0.33441339888349192"/>
          <c:h val="0.49693045024506316"/>
        </c:manualLayout>
      </c:layout>
      <c:spPr>
        <a:solidFill>
          <a:schemeClr val="bg1"/>
        </a:solidFill>
        <a:ln>
          <a:solidFill>
            <a:srgbClr val="FF6600"/>
          </a:solidFill>
        </a:ln>
      </c:spPr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gap"/>
  </c:chart>
  <c:printSettings>
    <c:headerFooter/>
    <c:pageMargins b="1" l="0.75000000000000111" r="0.750000000000001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161925</xdr:colOff>
      <xdr:row>20</xdr:row>
      <xdr:rowOff>146050</xdr:rowOff>
    </xdr:from>
    <xdr:to>
      <xdr:col>19</xdr:col>
      <xdr:colOff>60325</xdr:colOff>
      <xdr:row>47</xdr:row>
      <xdr:rowOff>6350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58830</xdr:colOff>
      <xdr:row>28</xdr:row>
      <xdr:rowOff>112059</xdr:rowOff>
    </xdr:from>
    <xdr:to>
      <xdr:col>30</xdr:col>
      <xdr:colOff>537881</xdr:colOff>
      <xdr:row>64</xdr:row>
      <xdr:rowOff>156882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773206</xdr:colOff>
      <xdr:row>76</xdr:row>
      <xdr:rowOff>89647</xdr:rowOff>
    </xdr:from>
    <xdr:to>
      <xdr:col>31</xdr:col>
      <xdr:colOff>459441</xdr:colOff>
      <xdr:row>113</xdr:row>
      <xdr:rowOff>168088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T62"/>
  <sheetViews>
    <sheetView tabSelected="1" topLeftCell="C1" workbookViewId="0">
      <selection activeCell="S22" sqref="S22"/>
    </sheetView>
  </sheetViews>
  <sheetFormatPr defaultColWidth="11.44140625" defaultRowHeight="15"/>
  <cols>
    <col min="2" max="5" width="9.5546875" customWidth="1"/>
    <col min="6" max="6" width="1.6640625" customWidth="1"/>
    <col min="7" max="8" width="10.77734375" customWidth="1"/>
    <col min="9" max="9" width="11.33203125" customWidth="1"/>
    <col min="10" max="10" width="11.44140625" customWidth="1"/>
    <col min="13" max="13" width="1.6640625" customWidth="1"/>
    <col min="17" max="17" width="1.77734375" customWidth="1"/>
  </cols>
  <sheetData>
    <row r="5" spans="1:20">
      <c r="A5" s="48" t="s">
        <v>17</v>
      </c>
      <c r="B5" s="48"/>
      <c r="C5" s="48"/>
      <c r="D5" s="48"/>
      <c r="E5" s="48"/>
      <c r="F5" s="48"/>
      <c r="G5" s="48"/>
      <c r="H5" s="48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spans="1:20">
      <c r="A6" s="49" t="s">
        <v>5</v>
      </c>
      <c r="B6" s="48">
        <v>0.25</v>
      </c>
      <c r="C6" s="48"/>
      <c r="D6" s="48" t="s">
        <v>11</v>
      </c>
      <c r="E6" s="48">
        <v>1.2</v>
      </c>
      <c r="F6" s="48"/>
      <c r="G6" s="61" t="s">
        <v>128</v>
      </c>
      <c r="H6" s="62"/>
      <c r="I6" s="68" t="s">
        <v>124</v>
      </c>
      <c r="J6" s="69"/>
      <c r="K6" s="69"/>
      <c r="L6" s="69"/>
      <c r="M6" s="69"/>
      <c r="N6" s="69"/>
      <c r="O6" s="69"/>
      <c r="P6" s="69"/>
      <c r="Q6" s="69"/>
      <c r="R6" s="69"/>
      <c r="S6" s="69"/>
      <c r="T6" s="70"/>
    </row>
    <row r="7" spans="1:20">
      <c r="A7" s="48"/>
      <c r="B7" s="48"/>
      <c r="C7" s="48"/>
      <c r="D7" s="48"/>
      <c r="E7" s="48"/>
      <c r="F7" s="48"/>
      <c r="G7" s="63"/>
      <c r="H7" s="64"/>
      <c r="I7" s="71"/>
      <c r="J7" s="72"/>
      <c r="K7" s="72"/>
      <c r="L7" s="72"/>
      <c r="M7" s="72"/>
      <c r="N7" s="72"/>
      <c r="O7" s="72"/>
      <c r="P7" s="72"/>
      <c r="Q7" s="72"/>
      <c r="R7" s="72"/>
      <c r="S7" s="72"/>
      <c r="T7" s="73"/>
    </row>
    <row r="8" spans="1:20">
      <c r="A8" s="48" t="s">
        <v>16</v>
      </c>
      <c r="B8" s="48">
        <v>30</v>
      </c>
      <c r="C8" s="48" t="s">
        <v>12</v>
      </c>
      <c r="D8" s="48"/>
      <c r="E8" s="48"/>
      <c r="F8" s="48"/>
      <c r="G8" s="60"/>
      <c r="H8" s="60"/>
      <c r="I8" s="65" t="s">
        <v>125</v>
      </c>
      <c r="J8" s="66"/>
      <c r="K8" s="65" t="s">
        <v>126</v>
      </c>
      <c r="L8" s="66"/>
      <c r="M8" s="53"/>
      <c r="N8" s="65" t="s">
        <v>127</v>
      </c>
      <c r="O8" s="67"/>
      <c r="P8" s="66"/>
      <c r="Q8" s="53"/>
      <c r="R8" s="65" t="s">
        <v>129</v>
      </c>
      <c r="S8" s="67"/>
      <c r="T8" s="66"/>
    </row>
    <row r="9" spans="1:20">
      <c r="A9" s="48"/>
      <c r="B9" s="50" t="s">
        <v>6</v>
      </c>
      <c r="C9" s="50" t="s">
        <v>13</v>
      </c>
      <c r="D9" s="50" t="s">
        <v>14</v>
      </c>
      <c r="E9" s="50" t="s">
        <v>15</v>
      </c>
      <c r="F9" s="50"/>
      <c r="G9" s="54" t="s">
        <v>61</v>
      </c>
      <c r="H9" s="54" t="s">
        <v>68</v>
      </c>
      <c r="I9" s="54" t="s">
        <v>61</v>
      </c>
      <c r="J9" s="54" t="s">
        <v>68</v>
      </c>
      <c r="K9" s="54" t="s">
        <v>61</v>
      </c>
      <c r="L9" s="54" t="s">
        <v>68</v>
      </c>
      <c r="M9" s="54"/>
      <c r="N9" s="54" t="s">
        <v>6</v>
      </c>
      <c r="O9" s="54" t="s">
        <v>61</v>
      </c>
      <c r="P9" s="54" t="s">
        <v>68</v>
      </c>
      <c r="Q9" s="53"/>
      <c r="R9" s="54" t="s">
        <v>6</v>
      </c>
      <c r="S9" s="54" t="s">
        <v>61</v>
      </c>
      <c r="T9" s="54" t="s">
        <v>68</v>
      </c>
    </row>
    <row r="10" spans="1:20">
      <c r="A10" s="50" t="s">
        <v>10</v>
      </c>
      <c r="B10" s="50" t="s">
        <v>75</v>
      </c>
      <c r="C10" s="50" t="s">
        <v>75</v>
      </c>
      <c r="D10" s="50" t="s">
        <v>75</v>
      </c>
      <c r="E10" s="50" t="s">
        <v>75</v>
      </c>
      <c r="F10" s="50"/>
      <c r="G10" s="54" t="s">
        <v>72</v>
      </c>
      <c r="H10" s="54" t="s">
        <v>76</v>
      </c>
      <c r="I10" s="54" t="s">
        <v>72</v>
      </c>
      <c r="J10" s="54" t="s">
        <v>76</v>
      </c>
      <c r="K10" s="54" t="s">
        <v>72</v>
      </c>
      <c r="L10" s="54" t="s">
        <v>76</v>
      </c>
      <c r="M10" s="54"/>
      <c r="N10" s="54" t="s">
        <v>75</v>
      </c>
      <c r="O10" s="54" t="s">
        <v>72</v>
      </c>
      <c r="P10" s="54" t="s">
        <v>76</v>
      </c>
      <c r="Q10" s="53"/>
      <c r="R10" s="54" t="s">
        <v>75</v>
      </c>
      <c r="S10" s="54" t="s">
        <v>72</v>
      </c>
      <c r="T10" s="54" t="s">
        <v>76</v>
      </c>
    </row>
    <row r="11" spans="1:20">
      <c r="A11" s="51">
        <v>1</v>
      </c>
      <c r="B11" s="52">
        <v>20.833333333333336</v>
      </c>
      <c r="C11" s="53">
        <v>18.229166666666668</v>
      </c>
      <c r="D11" s="53">
        <v>23.437500000000004</v>
      </c>
      <c r="E11" s="53">
        <v>5.2083333333333339</v>
      </c>
      <c r="F11" s="53"/>
      <c r="G11" s="53">
        <f>'DetectorNoise, V2.5'!E14</f>
        <v>40.8775820854</v>
      </c>
      <c r="H11" s="53">
        <f>'DetectorNoise, V2.5'!K14</f>
        <v>14.6711305228</v>
      </c>
      <c r="I11" s="53">
        <f>'DetectorNoise, V3D, case1'!E14</f>
        <v>40.8775820854</v>
      </c>
      <c r="J11" s="53">
        <f>'DetectorNoise, V3D, case1'!K14</f>
        <v>14.147812456400001</v>
      </c>
      <c r="K11" s="53">
        <f>'DetectorNoise, V3D, case2'!E14</f>
        <v>38.3964721161</v>
      </c>
      <c r="L11" s="53">
        <f>'DetectorNoise, V3D, case2'!K14</f>
        <v>16.631702961000002</v>
      </c>
      <c r="M11" s="53"/>
      <c r="N11" s="53">
        <f>'DetectorNoise, V3D, case3'!C14</f>
        <v>20</v>
      </c>
      <c r="O11" s="53">
        <f>'DetectorNoise, V3D, case3'!H14</f>
        <v>40.909698526900002</v>
      </c>
      <c r="P11" s="53">
        <f>'DetectorNoise, V3D, case3'!N14</f>
        <v>15.893583807599999</v>
      </c>
      <c r="Q11" s="53"/>
      <c r="R11" s="53">
        <f>'DetectorNoise, V3D, case4'!C14</f>
        <v>25.143229999999999</v>
      </c>
      <c r="S11" s="53">
        <f>'DetectorNoise, V3D, case4'!H14</f>
        <v>33.816407334099999</v>
      </c>
      <c r="T11" s="53">
        <f>'DetectorNoise, V3D, case4'!N14</f>
        <v>5.7571321473700001</v>
      </c>
    </row>
    <row r="12" spans="1:20">
      <c r="A12" s="51">
        <v>2</v>
      </c>
      <c r="B12" s="52">
        <v>25</v>
      </c>
      <c r="C12" s="53">
        <v>21.875</v>
      </c>
      <c r="D12" s="53">
        <v>28.125</v>
      </c>
      <c r="E12" s="53">
        <v>6.25</v>
      </c>
      <c r="F12" s="53"/>
      <c r="G12" s="53">
        <f>'DetectorNoise, V2.5'!E15</f>
        <v>34.010148295</v>
      </c>
      <c r="H12" s="53">
        <f>'DetectorNoise, V2.5'!K15</f>
        <v>9.0313031081999995</v>
      </c>
      <c r="I12" s="53">
        <f>'DetectorNoise, V3D, case1'!E15</f>
        <v>34.010148295</v>
      </c>
      <c r="J12" s="53">
        <f>'DetectorNoise, V3D, case1'!K15</f>
        <v>8.8050560751499987</v>
      </c>
      <c r="K12" s="53">
        <f>'DetectorNoise, V3D, case2'!E15</f>
        <v>31.9519944796</v>
      </c>
      <c r="L12" s="53">
        <f>'DetectorNoise, V3D, case2'!K15</f>
        <v>10.6608314766</v>
      </c>
      <c r="M12" s="53"/>
      <c r="N12" s="53">
        <f>'DetectorNoise, V3D, case3'!C15</f>
        <v>24.3</v>
      </c>
      <c r="O12" s="53">
        <f>'DetectorNoise, V3D, case3'!H15</f>
        <v>34.989864501100001</v>
      </c>
      <c r="P12" s="53">
        <f>'DetectorNoise, V3D, case3'!N15</f>
        <v>11.2021270924</v>
      </c>
      <c r="Q12" s="53"/>
      <c r="R12" s="53">
        <f>'DetectorNoise, V3D, case4'!C15</f>
        <v>45.097233618700002</v>
      </c>
      <c r="S12" s="53">
        <f>'DetectorNoise, V3D, case4'!H15</f>
        <v>18.853788561999998</v>
      </c>
      <c r="T12" s="53">
        <f>'DetectorNoise, V3D, case4'!N15</f>
        <v>3.1872412753899999</v>
      </c>
    </row>
    <row r="13" spans="1:20">
      <c r="A13" s="51">
        <v>3</v>
      </c>
      <c r="B13" s="53">
        <v>30</v>
      </c>
      <c r="C13" s="53">
        <v>26.25</v>
      </c>
      <c r="D13" s="53">
        <v>33.75</v>
      </c>
      <c r="E13" s="53">
        <v>7.5</v>
      </c>
      <c r="F13" s="53"/>
      <c r="G13" s="53">
        <f>'DetectorNoise, V2.5'!E16</f>
        <v>31.867202236299999</v>
      </c>
      <c r="H13" s="53">
        <f>'DetectorNoise, V2.5'!K16</f>
        <v>10.272929983199999</v>
      </c>
      <c r="I13" s="53">
        <f>'DetectorNoise, V3D, case1'!E16</f>
        <v>31.867202236299999</v>
      </c>
      <c r="J13" s="53">
        <f>'DetectorNoise, V3D, case1'!K16</f>
        <v>9.9243910375300004</v>
      </c>
      <c r="K13" s="53">
        <f>'DetectorNoise, V3D, case2'!E16</f>
        <v>28.294632525000001</v>
      </c>
      <c r="L13" s="53">
        <f>'DetectorNoise, V3D, case2'!K16</f>
        <v>8.0192304120699998</v>
      </c>
      <c r="M13" s="53"/>
      <c r="N13" s="53">
        <f>'DetectorNoise, V3D, case3'!C16</f>
        <v>29.5245</v>
      </c>
      <c r="O13" s="53">
        <f>'DetectorNoise, V3D, case3'!H16</f>
        <v>30.4012292297</v>
      </c>
      <c r="P13" s="53">
        <f>'DetectorNoise, V3D, case3'!N16</f>
        <v>8.8437345712299997</v>
      </c>
      <c r="Q13" s="53"/>
      <c r="R13" s="53">
        <f>'DetectorNoise, V3D, case4'!C16</f>
        <v>80.887001393999995</v>
      </c>
      <c r="S13" s="53">
        <f>'DetectorNoise, V3D, case4'!H16</f>
        <v>10.5116235331</v>
      </c>
      <c r="T13" s="53">
        <f>'DetectorNoise, V3D, case4'!N16</f>
        <v>1.30540403455</v>
      </c>
    </row>
    <row r="14" spans="1:20">
      <c r="A14" s="51">
        <v>4</v>
      </c>
      <c r="B14" s="53">
        <v>36</v>
      </c>
      <c r="C14" s="53">
        <v>31.5</v>
      </c>
      <c r="D14" s="53">
        <v>40.5</v>
      </c>
      <c r="E14" s="53">
        <v>9</v>
      </c>
      <c r="F14" s="53"/>
      <c r="G14" s="53">
        <f>'DetectorNoise, V2.5'!E17</f>
        <v>26.581900032499998</v>
      </c>
      <c r="H14" s="53">
        <f>'DetectorNoise, V2.5'!K17</f>
        <v>6.3401993110700001</v>
      </c>
      <c r="I14" s="53">
        <f>'DetectorNoise, V3D, case1'!E17</f>
        <v>26.581900032499998</v>
      </c>
      <c r="J14" s="53">
        <f>'DetectorNoise, V3D, case1'!K17</f>
        <v>6.1920000000000002</v>
      </c>
      <c r="K14" s="53">
        <f>'DetectorNoise, V3D, case2'!E17</f>
        <v>23.618158538199999</v>
      </c>
      <c r="L14" s="53">
        <f>'DetectorNoise, V3D, case2'!K17</f>
        <v>5.1858468154199997</v>
      </c>
      <c r="M14" s="53"/>
      <c r="N14" s="53">
        <f>'DetectorNoise, V3D, case3'!C17</f>
        <v>35.8722675</v>
      </c>
      <c r="O14" s="53">
        <f>'DetectorNoise, V3D, case3'!H17</f>
        <v>22.808537835999999</v>
      </c>
      <c r="P14" s="53">
        <f>'DetectorNoise, V3D, case3'!N17</f>
        <v>8.4015975862700003</v>
      </c>
      <c r="Q14" s="53"/>
      <c r="R14" s="53">
        <f>'DetectorNoise, V3D, case4'!C17</f>
        <v>145.080007564</v>
      </c>
      <c r="S14" s="53">
        <f>'DetectorNoise, V3D, case4'!H17</f>
        <v>5.8605849396999998</v>
      </c>
      <c r="T14" s="53">
        <f>'DetectorNoise, V3D, case4'!N17</f>
        <v>1.11690121539</v>
      </c>
    </row>
    <row r="15" spans="1:20">
      <c r="A15" s="51">
        <v>5</v>
      </c>
      <c r="B15" s="53">
        <v>43.199999999999996</v>
      </c>
      <c r="C15" s="53">
        <v>37.799999999999997</v>
      </c>
      <c r="D15" s="53">
        <v>48.599999999999994</v>
      </c>
      <c r="E15" s="53">
        <v>10.799999999999999</v>
      </c>
      <c r="F15" s="53"/>
      <c r="G15" s="53">
        <f>'DetectorNoise, V2.5'!E18</f>
        <v>27.304657912</v>
      </c>
      <c r="H15" s="53">
        <f>'DetectorNoise, V2.5'!K18</f>
        <v>8.5894235615800003</v>
      </c>
      <c r="I15" s="53">
        <f>'DetectorNoise, V3D, case1'!E18</f>
        <v>27.304657912</v>
      </c>
      <c r="J15" s="53">
        <f>'DetectorNoise, V3D, case1'!K18</f>
        <v>8.2981705362200007</v>
      </c>
      <c r="K15" s="53">
        <f>'DetectorNoise, V3D, case2'!E18</f>
        <v>22.1515833604</v>
      </c>
      <c r="L15" s="53">
        <f>'DetectorNoise, V3D, case2'!K18</f>
        <v>5.7001271977599997</v>
      </c>
      <c r="M15" s="53"/>
      <c r="N15" s="53">
        <f>'DetectorNoise, V3D, case3'!C18</f>
        <v>43.584805012499999</v>
      </c>
      <c r="O15" s="53">
        <f>'DetectorNoise, V3D, case3'!H18</f>
        <v>19.5080305426</v>
      </c>
      <c r="P15" s="53">
        <f>'DetectorNoise, V3D, case3'!N18</f>
        <v>6.0359307927999994</v>
      </c>
      <c r="Q15" s="53"/>
      <c r="R15" s="53">
        <f>'DetectorNoise, V3D, case4'!C18</f>
        <v>260.21744201199999</v>
      </c>
      <c r="S15" s="53">
        <f>'DetectorNoise, V3D, case4'!H18</f>
        <v>3.2674739279999998</v>
      </c>
      <c r="T15" s="53">
        <f>'DetectorNoise, V3D, case4'!N18</f>
        <v>1.7230000000000001</v>
      </c>
    </row>
    <row r="16" spans="1:20">
      <c r="A16" s="51">
        <v>6</v>
      </c>
      <c r="B16" s="53">
        <v>51.839999999999996</v>
      </c>
      <c r="C16" s="53">
        <v>45.36</v>
      </c>
      <c r="D16" s="53">
        <v>58.319999999999993</v>
      </c>
      <c r="E16" s="53">
        <v>12.959999999999999</v>
      </c>
      <c r="F16" s="53"/>
      <c r="G16" s="53">
        <f>'DetectorNoise, V2.5'!E19</f>
        <v>22.7103439276</v>
      </c>
      <c r="H16" s="53">
        <f>'DetectorNoise, V2.5'!K19</f>
        <v>5.3458824889600001</v>
      </c>
      <c r="I16" s="53">
        <f>'DetectorNoise, V3D, case1'!E19</f>
        <v>22.7103439276</v>
      </c>
      <c r="J16" s="53">
        <f>'DetectorNoise, V3D, case1'!K19</f>
        <v>5.2210580268299998</v>
      </c>
      <c r="K16" s="53">
        <f>'DetectorNoise, V3D, case2'!E19</f>
        <v>18.4499615601</v>
      </c>
      <c r="L16" s="53">
        <f>'DetectorNoise, V3D, case2'!K19</f>
        <v>3.7333649342699999</v>
      </c>
      <c r="M16" s="53"/>
      <c r="N16" s="53">
        <f>'DetectorNoise, V3D, case3'!C19</f>
        <v>52.955538090200001</v>
      </c>
      <c r="O16" s="53">
        <f>'DetectorNoise, V3D, case3'!H19</f>
        <v>16.9497114893</v>
      </c>
      <c r="P16" s="53">
        <f>'DetectorNoise, V3D, case3'!N19</f>
        <v>4.8635949217999999</v>
      </c>
      <c r="Q16" s="53"/>
      <c r="R16" s="53">
        <f>'DetectorNoise, V3D, case4'!C19</f>
        <v>466.72948440099998</v>
      </c>
      <c r="S16" s="53">
        <f>'DetectorNoise, V3D, case4'!H19</f>
        <v>1.8217270084999999</v>
      </c>
      <c r="T16" s="53">
        <f>'DetectorNoise, V3D, case4'!N19</f>
        <v>13.6307535787</v>
      </c>
    </row>
    <row r="17" spans="1:20">
      <c r="A17" s="51">
        <v>7</v>
      </c>
      <c r="B17" s="53">
        <v>62.207999999999991</v>
      </c>
      <c r="C17" s="53">
        <v>54.431999999999995</v>
      </c>
      <c r="D17" s="53">
        <v>69.983999999999995</v>
      </c>
      <c r="E17" s="53">
        <v>15.551999999999998</v>
      </c>
      <c r="F17" s="53"/>
      <c r="G17" s="53">
        <f>'DetectorNoise, V2.5'!E20</f>
        <v>13.669673752</v>
      </c>
      <c r="H17" s="53">
        <f>'DetectorNoise, V2.5'!K20</f>
        <v>5.60038536315</v>
      </c>
      <c r="I17" s="53">
        <f>'DetectorNoise, V3D, case1'!E20</f>
        <v>13.669673752</v>
      </c>
      <c r="J17" s="53">
        <f>'DetectorNoise, V3D, case1'!K20</f>
        <v>3.1098904272400003</v>
      </c>
      <c r="K17" s="53">
        <f>'DetectorNoise, V3D, case2'!E20</f>
        <v>12.8418912366</v>
      </c>
      <c r="L17" s="53">
        <f>'DetectorNoise, V3D, case2'!K20</f>
        <v>3.49110906714</v>
      </c>
      <c r="M17" s="53"/>
      <c r="N17" s="53">
        <f>'DetectorNoise, V3D, case3'!C20</f>
        <v>64.340978779599993</v>
      </c>
      <c r="O17" s="53">
        <f>'DetectorNoise, V3D, case3'!H20</f>
        <v>12.716529746000001</v>
      </c>
      <c r="P17" s="53">
        <f>'DetectorNoise, V3D, case3'!N20</f>
        <v>3.3859999999999997</v>
      </c>
      <c r="Q17" s="53"/>
      <c r="R17" s="53">
        <f>'DetectorNoise, V3D, case4'!C20</f>
        <v>665.89077515300005</v>
      </c>
      <c r="S17" s="53">
        <f>'DetectorNoise, V3D, case4'!H20</f>
        <v>1.2768666259999999</v>
      </c>
      <c r="T17" s="53">
        <f>'DetectorNoise, V3D, case4'!N20</f>
        <v>1134.3220999999999</v>
      </c>
    </row>
    <row r="18" spans="1:20">
      <c r="A18" s="51">
        <v>8</v>
      </c>
      <c r="B18" s="53">
        <v>74.649599999999992</v>
      </c>
      <c r="C18" s="53">
        <v>65.318399999999997</v>
      </c>
      <c r="D18" s="53">
        <v>83.980799999999988</v>
      </c>
      <c r="E18" s="53">
        <v>18.662399999999998</v>
      </c>
      <c r="F18" s="53"/>
      <c r="G18" s="53">
        <f>'DetectorNoise, V2.5'!E21</f>
        <v>11.3898688195</v>
      </c>
      <c r="H18" s="53">
        <f>'DetectorNoise, V2.5'!K21</f>
        <v>4.2922310567000004</v>
      </c>
      <c r="I18" s="53">
        <f>'DetectorNoise, V3D, case1'!E21</f>
        <v>11.3898688195</v>
      </c>
      <c r="J18" s="53">
        <f>'DetectorNoise, V3D, case1'!K21</f>
        <v>2.6224324749600001</v>
      </c>
      <c r="K18" s="53">
        <f>'DetectorNoise, V3D, case2'!E21</f>
        <v>10.699693505200001</v>
      </c>
      <c r="L18" s="53">
        <f>'DetectorNoise, V3D, case2'!K21</f>
        <v>2.9433493890199998</v>
      </c>
      <c r="M18" s="53"/>
      <c r="N18" s="53">
        <f>'DetectorNoise, V3D, case3'!C21</f>
        <v>78.174289217199998</v>
      </c>
      <c r="O18" s="53">
        <f>'DetectorNoise, V3D, case3'!H21</f>
        <v>10.8763855213</v>
      </c>
      <c r="P18" s="53">
        <f>'DetectorNoise, V3D, case3'!N21</f>
        <v>2.5348164828599997</v>
      </c>
      <c r="Q18" s="53"/>
      <c r="R18" s="53">
        <f>'DetectorNoise, V3D, case4'!C21</f>
        <v>809.05729181100003</v>
      </c>
      <c r="S18" s="53">
        <f>'DetectorNoise, V3D, case4'!H21</f>
        <v>1.0509190338000001</v>
      </c>
      <c r="T18" s="53">
        <f>'DetectorNoise, V3D, case4'!N21</f>
        <v>9204.2896999999994</v>
      </c>
    </row>
    <row r="19" spans="1:20">
      <c r="A19" s="51">
        <v>9</v>
      </c>
      <c r="B19" s="53">
        <v>89.579519999999988</v>
      </c>
      <c r="C19" s="53">
        <v>78.382079999999988</v>
      </c>
      <c r="D19" s="53">
        <v>100.77695999999999</v>
      </c>
      <c r="E19" s="53">
        <v>22.394879999999997</v>
      </c>
      <c r="F19" s="53"/>
      <c r="G19" s="53">
        <f>'DetectorNoise, V2.5'!E22</f>
        <v>10.681871389399999</v>
      </c>
      <c r="H19" s="53">
        <f>'DetectorNoise, V2.5'!K22</f>
        <v>4.2572799250800006</v>
      </c>
      <c r="I19" s="53">
        <f>'DetectorNoise, V3D, case1'!E22</f>
        <v>10.681871389399999</v>
      </c>
      <c r="J19" s="53">
        <f>'DetectorNoise, V3D, case1'!K22</f>
        <v>2.36682448571</v>
      </c>
      <c r="K19" s="53">
        <f>'DetectorNoise, V3D, case2'!E22</f>
        <v>9.4894386984000008</v>
      </c>
      <c r="L19" s="53">
        <f>'DetectorNoise, V3D, case2'!K22</f>
        <v>1.90160742921</v>
      </c>
      <c r="M19" s="53"/>
      <c r="N19" s="53">
        <f>'DetectorNoise, V3D, case3'!C22</f>
        <v>94.981761398900005</v>
      </c>
      <c r="O19" s="53">
        <f>'DetectorNoise, V3D, case3'!H22</f>
        <v>9.4500362930000001</v>
      </c>
      <c r="P19" s="53">
        <f>'DetectorNoise, V3D, case3'!N22</f>
        <v>2.14075110416</v>
      </c>
      <c r="Q19" s="53"/>
      <c r="R19" s="53"/>
      <c r="S19" s="53"/>
      <c r="T19" s="53"/>
    </row>
    <row r="20" spans="1:20">
      <c r="A20" s="51">
        <v>10</v>
      </c>
      <c r="B20" s="53">
        <v>107.49542399999999</v>
      </c>
      <c r="C20" s="53">
        <v>94.058495999999991</v>
      </c>
      <c r="D20" s="53">
        <v>120.93235199999998</v>
      </c>
      <c r="E20" s="53">
        <v>26.873855999999996</v>
      </c>
      <c r="F20" s="53"/>
      <c r="G20" s="53">
        <f>'DetectorNoise, V2.5'!E23</f>
        <v>8.9045589852999996</v>
      </c>
      <c r="H20" s="53">
        <f>'DetectorNoise, V2.5'!K23</f>
        <v>3.38526312769</v>
      </c>
      <c r="I20" s="53">
        <f>'DetectorNoise, V3D, case1'!E23</f>
        <v>8.9045589852999996</v>
      </c>
      <c r="J20" s="53">
        <f>'DetectorNoise, V3D, case1'!K23</f>
        <v>2.0704365309899999</v>
      </c>
      <c r="K20" s="53">
        <f>'DetectorNoise, V3D, case2'!E23</f>
        <v>7.9093368128000003</v>
      </c>
      <c r="L20" s="53">
        <f>'DetectorNoise, V3D, case2'!K23</f>
        <v>1.67935063447</v>
      </c>
      <c r="M20" s="53"/>
      <c r="N20" s="53">
        <f>'DetectorNoise, V3D, case3'!C23</f>
        <v>115.40284010000001</v>
      </c>
      <c r="O20" s="53">
        <f>'DetectorNoise, V3D, case3'!H23</f>
        <v>7.0898945800000002</v>
      </c>
      <c r="P20" s="53">
        <f>'DetectorNoise, V3D, case3'!N23</f>
        <v>2.4449999999999998</v>
      </c>
      <c r="Q20" s="53"/>
      <c r="R20" s="53"/>
      <c r="S20" s="53"/>
      <c r="T20" s="53"/>
    </row>
    <row r="21" spans="1:20">
      <c r="A21" s="51">
        <v>11</v>
      </c>
      <c r="B21" s="53">
        <v>128.99450879999998</v>
      </c>
      <c r="C21" s="53">
        <v>112.87019519999998</v>
      </c>
      <c r="D21" s="53">
        <v>145.11882239999997</v>
      </c>
      <c r="E21" s="53">
        <v>32.248627199999994</v>
      </c>
      <c r="F21" s="53"/>
      <c r="G21" s="53">
        <f>'DetectorNoise, V2.5'!E24</f>
        <v>9.1343940881000005</v>
      </c>
      <c r="H21" s="53">
        <f>'DetectorNoise, V2.5'!K24</f>
        <v>4.06015979887</v>
      </c>
      <c r="I21" s="53">
        <f>'DetectorNoise, V3D, case1'!E24</f>
        <v>9.1343940881000005</v>
      </c>
      <c r="J21" s="53">
        <f>'DetectorNoise, V3D, case1'!K24</f>
        <v>2.2572839170000001</v>
      </c>
      <c r="K21" s="53">
        <f>'DetectorNoise, V3D, case2'!E24</f>
        <v>7.4176104147000004</v>
      </c>
      <c r="L21" s="53">
        <f>'DetectorNoise, V3D, case2'!K24</f>
        <v>1.5791576282400002</v>
      </c>
      <c r="M21" s="53"/>
      <c r="N21" s="53">
        <f>'DetectorNoise, V3D, case3'!C24</f>
        <v>140.21445072099999</v>
      </c>
      <c r="O21" s="53">
        <f>'DetectorNoise, V3D, case3'!H24</f>
        <v>6.0639520606000001</v>
      </c>
      <c r="P21" s="53">
        <f>'DetectorNoise, V3D, case3'!N24</f>
        <v>2.0277092459100001</v>
      </c>
      <c r="Q21" s="53"/>
      <c r="R21" s="53"/>
      <c r="S21" s="53"/>
      <c r="T21" s="53"/>
    </row>
    <row r="22" spans="1:20">
      <c r="A22" s="51">
        <v>12</v>
      </c>
      <c r="B22" s="53">
        <v>154.79341055999996</v>
      </c>
      <c r="C22" s="53">
        <v>135.44423423999996</v>
      </c>
      <c r="D22" s="53">
        <v>174.14258687999995</v>
      </c>
      <c r="E22" s="53">
        <v>38.698352639999989</v>
      </c>
      <c r="F22" s="53"/>
      <c r="G22" s="53">
        <f>'DetectorNoise, V2.5'!E25</f>
        <v>7.6174175515</v>
      </c>
      <c r="H22" s="53">
        <f>'DetectorNoise, V2.5'!K25</f>
        <v>3.4613606393799996</v>
      </c>
      <c r="I22" s="53">
        <f>'DetectorNoise, V3D, case1'!E25</f>
        <v>7.6174175515</v>
      </c>
      <c r="J22" s="53">
        <f>'DetectorNoise, V3D, case1'!K25</f>
        <v>2.117</v>
      </c>
      <c r="K22" s="53">
        <f>'DetectorNoise, V3D, case2'!E25</f>
        <v>6.1838345795</v>
      </c>
      <c r="L22" s="53">
        <f>'DetectorNoise, V3D, case2'!K25</f>
        <v>1.50037669104</v>
      </c>
      <c r="M22" s="53"/>
      <c r="N22" s="53">
        <f>'DetectorNoise, V3D, case3'!C25</f>
        <v>170.360557626</v>
      </c>
      <c r="O22" s="53">
        <f>'DetectorNoise, V3D, case3'!H25</f>
        <v>5.2687142193999996</v>
      </c>
      <c r="P22" s="53">
        <f>'DetectorNoise, V3D, case3'!N25</f>
        <v>1.9604359660700001</v>
      </c>
      <c r="Q22" s="53"/>
      <c r="R22" s="53"/>
      <c r="S22" s="53"/>
      <c r="T22" s="53"/>
    </row>
    <row r="23" spans="1:20">
      <c r="A23" s="51">
        <v>13</v>
      </c>
      <c r="B23" s="53">
        <v>185.75209267199995</v>
      </c>
      <c r="C23" s="53">
        <v>162.53308108799996</v>
      </c>
      <c r="D23" s="53">
        <v>208.97110425599993</v>
      </c>
      <c r="E23" s="53">
        <v>46.438023167999987</v>
      </c>
      <c r="F23" s="53"/>
      <c r="G23" s="53">
        <f>'DetectorNoise, V2.5'!E26</f>
        <v>4.5774089226000001</v>
      </c>
      <c r="H23" s="53">
        <f>'DetectorNoise, V2.5'!K26</f>
        <v>4.2491233196599998</v>
      </c>
      <c r="I23" s="53">
        <f>'DetectorNoise, V3D, case1'!E26</f>
        <v>4.5774089226000001</v>
      </c>
      <c r="J23" s="53">
        <f>'DetectorNoise, V3D, case1'!K26</f>
        <v>2.45205639419</v>
      </c>
      <c r="K23" s="53">
        <f>'DetectorNoise, V3D, case2'!E26</f>
        <v>4.3005033480000003</v>
      </c>
      <c r="L23" s="53">
        <f>'DetectorNoise, V3D, case2'!K26</f>
        <v>2.5409999999999999</v>
      </c>
      <c r="M23" s="53"/>
      <c r="N23" s="53">
        <f>'DetectorNoise, V3D, case3'!C26</f>
        <v>206.988077516</v>
      </c>
      <c r="O23" s="53">
        <f>'DetectorNoise, V3D, case3'!H26</f>
        <v>3.9528555478</v>
      </c>
      <c r="P23" s="53">
        <f>'DetectorNoise, V3D, case3'!N26</f>
        <v>2.7597812906300003</v>
      </c>
      <c r="Q23" s="53"/>
      <c r="R23" s="53"/>
      <c r="S23" s="53"/>
      <c r="T23" s="53"/>
    </row>
    <row r="24" spans="1:20">
      <c r="A24" s="51">
        <v>14</v>
      </c>
      <c r="B24" s="53">
        <v>222.90251120639994</v>
      </c>
      <c r="C24" s="53">
        <v>195.03969730559993</v>
      </c>
      <c r="D24" s="53">
        <v>250.76532510719994</v>
      </c>
      <c r="E24" s="53">
        <v>55.725627801599984</v>
      </c>
      <c r="F24" s="53"/>
      <c r="G24" s="53">
        <f>'DetectorNoise, V2.5'!E27</f>
        <v>3.8145074354999999</v>
      </c>
      <c r="H24" s="53">
        <f>'DetectorNoise, V2.5'!K27</f>
        <v>5.3775749055000004</v>
      </c>
      <c r="I24" s="53">
        <f>'DetectorNoise, V3D, case1'!E27</f>
        <v>3.8145074354999999</v>
      </c>
      <c r="J24" s="53">
        <f>'DetectorNoise, V3D, case1'!K27</f>
        <v>3.36621269778</v>
      </c>
      <c r="K24" s="53">
        <f>'DetectorNoise, V3D, case2'!E27</f>
        <v>3.5836370376</v>
      </c>
      <c r="L24" s="53">
        <f>'DetectorNoise, V3D, case2'!K27</f>
        <v>3.3937676941800001</v>
      </c>
      <c r="M24" s="53"/>
      <c r="N24" s="53">
        <f>'DetectorNoise, V3D, case3'!C27</f>
        <v>251.490514182</v>
      </c>
      <c r="O24" s="53">
        <f>'DetectorNoise, V3D, case3'!H27</f>
        <v>3.3808579625999999</v>
      </c>
      <c r="P24" s="53">
        <f>'DetectorNoise, V3D, case3'!N27</f>
        <v>3.09620500093</v>
      </c>
      <c r="Q24" s="53"/>
      <c r="R24" s="53"/>
      <c r="S24" s="53"/>
      <c r="T24" s="53"/>
    </row>
    <row r="25" spans="1:20">
      <c r="A25" s="51">
        <v>15</v>
      </c>
      <c r="B25" s="53">
        <v>267.48301344767992</v>
      </c>
      <c r="C25" s="53">
        <v>234.04763676671993</v>
      </c>
      <c r="D25" s="53">
        <v>300.91839012863989</v>
      </c>
      <c r="E25" s="53">
        <v>66.870753361919981</v>
      </c>
      <c r="F25" s="53"/>
      <c r="G25" s="53">
        <f>'DetectorNoise, V2.5'!E28</f>
        <v>3.5777465157999999</v>
      </c>
      <c r="H25" s="53">
        <f>'DetectorNoise, V2.5'!K28</f>
        <v>6.2938910257700007</v>
      </c>
      <c r="I25" s="53">
        <f>'DetectorNoise, V3D, case1'!E28</f>
        <v>3.5777465157999999</v>
      </c>
      <c r="J25" s="53">
        <f>'DetectorNoise, V3D, case1'!K28</f>
        <v>3.6337160971000002</v>
      </c>
      <c r="K25" s="53">
        <f>'DetectorNoise, V3D, case2'!E28</f>
        <v>3.1791127589000001</v>
      </c>
      <c r="L25" s="53">
        <f>'DetectorNoise, V3D, case2'!K28</f>
        <v>2.84425213993</v>
      </c>
      <c r="M25" s="53"/>
      <c r="N25" s="53">
        <f>'DetectorNoise, V3D, case3'!C28</f>
        <v>305.56097473099999</v>
      </c>
      <c r="O25" s="53">
        <f>'DetectorNoise, V3D, case3'!H28</f>
        <v>2.9374860227999999</v>
      </c>
      <c r="P25" s="53">
        <f>'DetectorNoise, V3D, case3'!N28</f>
        <v>4.5808319048500001</v>
      </c>
      <c r="Q25" s="53"/>
      <c r="R25" s="53"/>
      <c r="S25" s="53"/>
      <c r="T25" s="53"/>
    </row>
    <row r="26" spans="1:20">
      <c r="A26" s="51">
        <v>16</v>
      </c>
      <c r="B26" s="53">
        <v>320.97961613721588</v>
      </c>
      <c r="C26" s="53">
        <v>280.85716412006389</v>
      </c>
      <c r="D26" s="53">
        <v>361.10206815436788</v>
      </c>
      <c r="E26" s="53">
        <v>80.244904034303971</v>
      </c>
      <c r="F26" s="53"/>
      <c r="G26" s="53">
        <f>'DetectorNoise, V2.5'!E29</f>
        <v>2.9812436747</v>
      </c>
      <c r="H26" s="53">
        <f>'DetectorNoise, V2.5'!K29</f>
        <v>10.8872463711</v>
      </c>
      <c r="I26" s="53">
        <f>'DetectorNoise, V3D, case1'!E29</f>
        <v>2.9812436747</v>
      </c>
      <c r="J26" s="53">
        <f>'DetectorNoise, V3D, case1'!K29</f>
        <v>6.8177589794799998</v>
      </c>
      <c r="K26" s="53">
        <f>'DetectorNoise, V3D, case2'!E29</f>
        <v>2.6487654434999999</v>
      </c>
      <c r="L26" s="53">
        <f>'DetectorNoise, V3D, case2'!K29</f>
        <v>5.2312047580499996</v>
      </c>
      <c r="M26" s="53"/>
      <c r="N26" s="53">
        <f>'DetectorNoise, V3D, case3'!C29</f>
        <v>371.25658429800001</v>
      </c>
      <c r="O26" s="53">
        <f>'DetectorNoise, V3D, case3'!H29</f>
        <v>2.2038503966</v>
      </c>
      <c r="P26" s="53">
        <f>'DetectorNoise, V3D, case3'!N29</f>
        <v>12.3343121898</v>
      </c>
      <c r="Q26" s="53"/>
      <c r="R26" s="53"/>
      <c r="S26" s="53"/>
      <c r="T26" s="53"/>
    </row>
    <row r="27" spans="1:20">
      <c r="A27" s="51">
        <v>17</v>
      </c>
      <c r="B27" s="53">
        <v>385.17553936465907</v>
      </c>
      <c r="C27" s="53">
        <v>337.0285969440767</v>
      </c>
      <c r="D27" s="53">
        <v>433.32248178524145</v>
      </c>
      <c r="E27" s="53">
        <v>96.293884841164768</v>
      </c>
      <c r="F27" s="53"/>
      <c r="G27" s="53">
        <f>'DetectorNoise, V2.5'!E30</f>
        <v>3.0586120528</v>
      </c>
      <c r="H27" s="53">
        <f>'DetectorNoise, V2.5'!K30</f>
        <v>20.833570387200002</v>
      </c>
      <c r="I27" s="53">
        <f>'DetectorNoise, V3D, case1'!E30</f>
        <v>3.0586120528</v>
      </c>
      <c r="J27" s="53">
        <f>'DetectorNoise, V3D, case1'!K30</f>
        <v>12.028266637</v>
      </c>
      <c r="K27" s="53">
        <f>'DetectorNoise, V3D, case2'!E30</f>
        <v>2.4846122319999999</v>
      </c>
      <c r="L27" s="53">
        <f>'DetectorNoise, V3D, case2'!K30</f>
        <v>8.4942313174499997</v>
      </c>
      <c r="M27" s="53"/>
      <c r="N27" s="53">
        <f>'DetectorNoise, V3D, case3'!C30</f>
        <v>451.07674992199998</v>
      </c>
      <c r="O27" s="53">
        <f>'DetectorNoise, V3D, case3'!H30</f>
        <v>1.8849424349999999</v>
      </c>
      <c r="P27" s="53">
        <f>'DetectorNoise, V3D, case3'!N30</f>
        <v>29.059852976799998</v>
      </c>
      <c r="Q27" s="53"/>
      <c r="R27" s="53"/>
      <c r="S27" s="53"/>
      <c r="T27" s="53"/>
    </row>
    <row r="28" spans="1:20">
      <c r="A28" s="51">
        <v>18</v>
      </c>
      <c r="B28" s="53">
        <v>462.21064723759088</v>
      </c>
      <c r="C28" s="53">
        <v>404.43431633289202</v>
      </c>
      <c r="D28" s="53">
        <v>519.98697814228979</v>
      </c>
      <c r="E28" s="53">
        <v>115.55266180939772</v>
      </c>
      <c r="F28" s="53"/>
      <c r="G28" s="53">
        <f>'DetectorNoise, V2.5'!E31</f>
        <v>2.549070661</v>
      </c>
      <c r="H28" s="53">
        <f>'DetectorNoise, V2.5'!K31</f>
        <v>55.746200577700002</v>
      </c>
      <c r="I28" s="53">
        <f>'DetectorNoise, V3D, case1'!E31</f>
        <v>2.549070661</v>
      </c>
      <c r="J28" s="53">
        <f>'DetectorNoise, V3D, case1'!K31</f>
        <v>34.909622943199999</v>
      </c>
      <c r="K28" s="53">
        <f>'DetectorNoise, V3D, case2'!E31</f>
        <v>2.0703434385000001</v>
      </c>
      <c r="L28" s="53">
        <f>'DetectorNoise, V3D, case2'!K31</f>
        <v>24.572432719799998</v>
      </c>
      <c r="M28" s="53"/>
      <c r="N28" s="53">
        <f>'DetectorNoise, V3D, case3'!C31</f>
        <v>548.05825115499999</v>
      </c>
      <c r="O28" s="53">
        <f>'DetectorNoise, V3D, case3'!H31</f>
        <v>1.6377476125999999</v>
      </c>
      <c r="P28" s="53">
        <f>'DetectorNoise, V3D, case3'!N31</f>
        <v>99.721527369399993</v>
      </c>
      <c r="Q28" s="53"/>
      <c r="R28" s="53"/>
      <c r="S28" s="53"/>
      <c r="T28" s="53"/>
    </row>
    <row r="29" spans="1:20">
      <c r="A29" s="51">
        <v>19</v>
      </c>
      <c r="B29" s="53">
        <v>554.65277668510907</v>
      </c>
      <c r="C29" s="53">
        <v>485.32117959947044</v>
      </c>
      <c r="D29" s="53">
        <v>623.98437377074765</v>
      </c>
      <c r="E29" s="53">
        <v>138.66319417127727</v>
      </c>
      <c r="F29" s="53"/>
      <c r="G29" s="53">
        <f>'DetectorNoise, V2.5'!E32</f>
        <v>1.5329553906</v>
      </c>
      <c r="H29" s="53">
        <f>'DetectorNoise, V2.5'!K32</f>
        <v>309.1114</v>
      </c>
      <c r="I29" s="53">
        <f>'DetectorNoise, V3D, case1'!E32</f>
        <v>1.5329553906</v>
      </c>
      <c r="J29" s="53">
        <f>'DetectorNoise, V3D, case1'!K32</f>
        <v>252.34969999999998</v>
      </c>
      <c r="K29" s="53">
        <f>'DetectorNoise, V3D, case2'!E32</f>
        <v>1.5329553906</v>
      </c>
      <c r="L29" s="53">
        <f>'DetectorNoise, V3D, case2'!K32</f>
        <v>178.43819999999999</v>
      </c>
      <c r="M29" s="53"/>
      <c r="N29" s="53">
        <f>'DetectorNoise, V3D, case3'!C32</f>
        <v>665.89077515300005</v>
      </c>
      <c r="O29" s="53">
        <f>'DetectorNoise, V3D, case3'!H32</f>
        <v>1.2768666259999999</v>
      </c>
      <c r="P29" s="53">
        <f>'DetectorNoise, V3D, case3'!N32</f>
        <v>1134.3220999999999</v>
      </c>
      <c r="Q29" s="53"/>
      <c r="R29" s="53"/>
      <c r="S29" s="53"/>
      <c r="T29" s="53"/>
    </row>
    <row r="30" spans="1:20">
      <c r="A30" s="51">
        <v>20</v>
      </c>
      <c r="B30" s="53">
        <v>665.58333202213089</v>
      </c>
      <c r="C30" s="53">
        <v>582.38541551936453</v>
      </c>
      <c r="D30" s="53">
        <v>748.78124852489725</v>
      </c>
      <c r="E30" s="53">
        <v>166.39583300553272</v>
      </c>
      <c r="F30" s="53"/>
      <c r="G30" s="53">
        <f>'DetectorNoise, V2.5'!E33</f>
        <v>1.2774244401999999</v>
      </c>
      <c r="H30" s="53">
        <f>'DetectorNoise, V2.5'!K33</f>
        <v>1465.8863999999999</v>
      </c>
      <c r="I30" s="53">
        <f>'DetectorNoise, V3D, case1'!E33</f>
        <v>1.2774244401999999</v>
      </c>
      <c r="J30" s="53">
        <f>'DetectorNoise, V3D, case1'!K33</f>
        <v>1169.2104999999999</v>
      </c>
      <c r="K30" s="53">
        <f>'DetectorNoise, V3D, case2'!E33</f>
        <v>1.2774244401999999</v>
      </c>
      <c r="L30" s="53">
        <f>'DetectorNoise, V3D, case2'!K33</f>
        <v>826.75670000000002</v>
      </c>
      <c r="M30" s="53"/>
      <c r="N30" s="53">
        <f>'DetectorNoise, V3D, case3'!C33</f>
        <v>809.05729181100003</v>
      </c>
      <c r="O30" s="53">
        <f>'DetectorNoise, V3D, case3'!H33</f>
        <v>1.0509190338000001</v>
      </c>
      <c r="P30" s="53">
        <f>'DetectorNoise, V3D, case3'!N33</f>
        <v>9204.2896999999994</v>
      </c>
      <c r="Q30" s="53"/>
      <c r="R30" s="53"/>
      <c r="S30" s="53"/>
      <c r="T30" s="53"/>
    </row>
    <row r="31" spans="1:20">
      <c r="A31" s="51">
        <v>21</v>
      </c>
      <c r="B31" s="53">
        <v>798.69999842655704</v>
      </c>
      <c r="C31" s="53">
        <v>698.86249862323746</v>
      </c>
      <c r="D31" s="53">
        <v>898.53749822987663</v>
      </c>
      <c r="E31" s="53">
        <v>199.67499960663926</v>
      </c>
      <c r="F31" s="53"/>
      <c r="G31" s="53">
        <f>'DetectorNoise, V2.5'!E34</f>
        <v>1.0645470231</v>
      </c>
      <c r="H31" s="53">
        <f>'DetectorNoise, V2.5'!K34</f>
        <v>9946.4261999999999</v>
      </c>
      <c r="I31" s="53">
        <f>'DetectorNoise, V3D, case1'!E34</f>
        <v>1.0645470231</v>
      </c>
      <c r="J31" s="53">
        <f>'DetectorNoise, V3D, case1'!K34</f>
        <v>7703.4686999999994</v>
      </c>
      <c r="K31" s="53">
        <f>'DetectorNoise, V3D, case2'!E34</f>
        <v>1.0645470231</v>
      </c>
      <c r="L31" s="53">
        <f>'DetectorNoise, V3D, case2'!K34</f>
        <v>5447.1749</v>
      </c>
      <c r="M31" s="53"/>
      <c r="N31" s="53"/>
      <c r="O31" s="53"/>
      <c r="P31" s="53"/>
      <c r="Q31" s="53"/>
      <c r="R31" s="53"/>
      <c r="S31" s="53"/>
      <c r="T31" s="53"/>
    </row>
    <row r="33" spans="1:20">
      <c r="A33" s="55"/>
      <c r="B33" s="59"/>
      <c r="C33" s="59"/>
      <c r="D33" s="59"/>
      <c r="G33" t="s">
        <v>123</v>
      </c>
      <c r="H33" s="17">
        <f>'DetectorNoise, V2.5'!G36</f>
        <v>3024</v>
      </c>
      <c r="I33" t="s">
        <v>123</v>
      </c>
      <c r="J33" s="17">
        <f>'DetectorNoise, V3D, case1'!G36</f>
        <v>7350</v>
      </c>
      <c r="K33" t="s">
        <v>123</v>
      </c>
      <c r="L33" s="17">
        <f>'DetectorNoise, V3D, case2'!G36</f>
        <v>15030</v>
      </c>
      <c r="M33" s="17"/>
      <c r="N33" s="17"/>
      <c r="O33" t="s">
        <v>123</v>
      </c>
      <c r="P33" s="17">
        <f>'DetectorNoise, V3D, case3'!J35</f>
        <v>15262</v>
      </c>
      <c r="R33" s="17"/>
      <c r="S33" t="s">
        <v>123</v>
      </c>
      <c r="T33" s="17">
        <f>'DetectorNoise, V3D, case4'!J23</f>
        <v>5510</v>
      </c>
    </row>
    <row r="34" spans="1:20">
      <c r="A34" s="56"/>
      <c r="B34" s="59"/>
      <c r="C34" s="59"/>
      <c r="D34" s="59"/>
    </row>
    <row r="35" spans="1:20">
      <c r="A35" s="56"/>
      <c r="B35" s="59"/>
      <c r="C35" s="59"/>
      <c r="D35" s="59"/>
    </row>
    <row r="36" spans="1:20">
      <c r="A36" s="56"/>
      <c r="B36" s="4"/>
      <c r="C36" s="7"/>
    </row>
    <row r="37" spans="1:20">
      <c r="A37" s="56"/>
      <c r="B37" s="4"/>
      <c r="C37" s="4"/>
    </row>
    <row r="38" spans="1:20">
      <c r="A38" s="56"/>
      <c r="B38" s="4"/>
      <c r="C38" s="7"/>
    </row>
    <row r="39" spans="1:20">
      <c r="A39" s="56"/>
      <c r="B39" s="4"/>
      <c r="C39" s="7"/>
    </row>
    <row r="40" spans="1:20">
      <c r="A40" s="56"/>
      <c r="B40" s="4"/>
      <c r="C40" s="7"/>
    </row>
    <row r="41" spans="1:20">
      <c r="A41" s="56"/>
      <c r="B41" s="4"/>
      <c r="C41" s="7"/>
    </row>
    <row r="42" spans="1:20">
      <c r="A42" s="56"/>
      <c r="B42" s="4"/>
      <c r="C42" s="7"/>
    </row>
    <row r="43" spans="1:20">
      <c r="A43" s="56"/>
      <c r="B43" s="4"/>
      <c r="C43" s="7"/>
    </row>
    <row r="44" spans="1:20">
      <c r="A44" s="56"/>
      <c r="B44" s="4"/>
      <c r="C44" s="7"/>
    </row>
    <row r="45" spans="1:20">
      <c r="A45" s="56"/>
      <c r="B45" s="4"/>
      <c r="C45" s="7"/>
    </row>
    <row r="46" spans="1:20">
      <c r="A46" s="56"/>
      <c r="B46" s="4"/>
      <c r="C46" s="7"/>
    </row>
    <row r="47" spans="1:20">
      <c r="A47" s="56"/>
      <c r="B47" s="4"/>
      <c r="C47" s="7"/>
    </row>
    <row r="48" spans="1:20">
      <c r="A48" s="56"/>
      <c r="B48" s="4"/>
      <c r="C48" s="7"/>
    </row>
    <row r="49" spans="1:3">
      <c r="A49" s="56"/>
      <c r="B49" s="4"/>
      <c r="C49" s="7"/>
    </row>
    <row r="50" spans="1:3">
      <c r="A50" s="56"/>
      <c r="B50" s="4"/>
      <c r="C50" s="7"/>
    </row>
    <row r="51" spans="1:3">
      <c r="A51" s="4"/>
      <c r="B51" s="31"/>
      <c r="C51" s="57"/>
    </row>
    <row r="52" spans="1:3">
      <c r="A52" s="58"/>
      <c r="B52" s="31"/>
      <c r="C52" s="57"/>
    </row>
    <row r="53" spans="1:3">
      <c r="A53" s="58"/>
      <c r="B53" s="31"/>
      <c r="C53" s="57"/>
    </row>
    <row r="54" spans="1:3">
      <c r="A54" s="58"/>
      <c r="B54" s="31"/>
      <c r="C54" s="57"/>
    </row>
    <row r="55" spans="1:3">
      <c r="A55" s="4"/>
      <c r="B55" s="4"/>
      <c r="C55" s="4"/>
    </row>
    <row r="56" spans="1:3">
      <c r="A56" s="4"/>
      <c r="B56" s="4"/>
      <c r="C56" s="4"/>
    </row>
    <row r="57" spans="1:3">
      <c r="A57" s="4"/>
      <c r="B57" s="4"/>
      <c r="C57" s="4"/>
    </row>
    <row r="58" spans="1:3">
      <c r="A58" s="4"/>
      <c r="B58" s="4"/>
      <c r="C58" s="4"/>
    </row>
    <row r="59" spans="1:3">
      <c r="A59" s="4"/>
      <c r="B59" s="4"/>
      <c r="C59" s="4"/>
    </row>
    <row r="60" spans="1:3">
      <c r="A60" s="4"/>
      <c r="B60" s="4"/>
      <c r="C60" s="4"/>
    </row>
    <row r="61" spans="1:3">
      <c r="A61" s="4"/>
      <c r="B61" s="4"/>
      <c r="C61" s="4"/>
    </row>
    <row r="62" spans="1:3">
      <c r="A62" s="4"/>
      <c r="B62" s="4"/>
      <c r="C62" s="4"/>
    </row>
  </sheetData>
  <mergeCells count="6">
    <mergeCell ref="R8:T8"/>
    <mergeCell ref="I6:T7"/>
    <mergeCell ref="G6:H7"/>
    <mergeCell ref="I8:J8"/>
    <mergeCell ref="K8:L8"/>
    <mergeCell ref="N8:P8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3:O57"/>
  <sheetViews>
    <sheetView topLeftCell="C1" workbookViewId="0">
      <selection activeCell="N29" sqref="N29"/>
    </sheetView>
  </sheetViews>
  <sheetFormatPr defaultColWidth="11.44140625" defaultRowHeight="15"/>
  <cols>
    <col min="6" max="6" width="12" customWidth="1"/>
    <col min="7" max="7" width="11.44140625" customWidth="1"/>
  </cols>
  <sheetData>
    <row r="3" spans="1:15">
      <c r="A3" s="33" t="s">
        <v>116</v>
      </c>
    </row>
    <row r="4" spans="1:15">
      <c r="A4" s="30" t="s">
        <v>79</v>
      </c>
      <c r="B4" s="4"/>
      <c r="C4" s="4"/>
      <c r="D4" s="4"/>
      <c r="E4" s="4"/>
      <c r="F4" s="4"/>
      <c r="G4" s="4"/>
    </row>
    <row r="5" spans="1:15">
      <c r="A5" s="32">
        <v>43040</v>
      </c>
      <c r="B5" s="31"/>
      <c r="C5" s="74" t="s">
        <v>89</v>
      </c>
      <c r="D5" s="74"/>
      <c r="E5" s="31">
        <v>4</v>
      </c>
      <c r="F5" s="31" t="s">
        <v>90</v>
      </c>
      <c r="G5" s="31"/>
    </row>
    <row r="6" spans="1:15">
      <c r="B6" s="31"/>
      <c r="C6" s="31"/>
      <c r="D6" s="31"/>
      <c r="E6" s="31"/>
      <c r="F6" s="31"/>
      <c r="G6" s="31"/>
    </row>
    <row r="7" spans="1:15">
      <c r="B7" s="41" t="s">
        <v>93</v>
      </c>
      <c r="C7" s="36" t="s">
        <v>94</v>
      </c>
      <c r="D7" s="31"/>
      <c r="E7" s="31"/>
      <c r="F7" s="31"/>
      <c r="G7" s="31"/>
    </row>
    <row r="8" spans="1:15">
      <c r="B8" s="36"/>
      <c r="C8" s="36" t="s">
        <v>95</v>
      </c>
      <c r="D8" s="31"/>
      <c r="E8" s="31"/>
      <c r="F8" s="31"/>
      <c r="G8" s="31"/>
    </row>
    <row r="9" spans="1:15">
      <c r="B9" s="36"/>
      <c r="C9" s="36" t="s">
        <v>96</v>
      </c>
      <c r="D9" s="31"/>
      <c r="E9" s="31"/>
      <c r="F9" s="31"/>
      <c r="G9" s="31"/>
    </row>
    <row r="10" spans="1:15">
      <c r="B10" s="31"/>
      <c r="C10" s="31"/>
      <c r="D10" s="31"/>
      <c r="E10" s="31"/>
      <c r="F10" s="31"/>
      <c r="G10" s="31"/>
    </row>
    <row r="11" spans="1:15">
      <c r="A11" s="31"/>
      <c r="B11" s="31"/>
      <c r="C11" s="31"/>
      <c r="D11" s="31"/>
      <c r="E11" s="31"/>
      <c r="F11" s="31"/>
      <c r="G11" s="31"/>
      <c r="J11" t="s">
        <v>119</v>
      </c>
    </row>
    <row r="12" spans="1:15">
      <c r="A12" s="34"/>
      <c r="B12" s="34"/>
      <c r="C12" s="34" t="s">
        <v>6</v>
      </c>
      <c r="D12" s="34" t="s">
        <v>85</v>
      </c>
      <c r="E12" s="34" t="s">
        <v>61</v>
      </c>
      <c r="F12" s="34" t="s">
        <v>86</v>
      </c>
      <c r="G12" s="34"/>
      <c r="H12" s="34" t="s">
        <v>87</v>
      </c>
      <c r="I12" s="34" t="s">
        <v>88</v>
      </c>
      <c r="J12" s="34" t="s">
        <v>87</v>
      </c>
      <c r="K12" s="34" t="s">
        <v>88</v>
      </c>
    </row>
    <row r="13" spans="1:15">
      <c r="A13" s="34" t="s">
        <v>10</v>
      </c>
      <c r="B13" s="34" t="s">
        <v>80</v>
      </c>
      <c r="C13" s="34" t="s">
        <v>75</v>
      </c>
      <c r="D13" s="34" t="s">
        <v>82</v>
      </c>
      <c r="E13" s="34" t="s">
        <v>72</v>
      </c>
      <c r="F13" s="34" t="s">
        <v>83</v>
      </c>
      <c r="G13" s="34" t="s">
        <v>81</v>
      </c>
      <c r="H13" s="34" t="s">
        <v>83</v>
      </c>
      <c r="I13" s="34" t="s">
        <v>84</v>
      </c>
      <c r="J13" s="34" t="s">
        <v>83</v>
      </c>
      <c r="K13" s="34" t="s">
        <v>84</v>
      </c>
    </row>
    <row r="14" spans="1:15">
      <c r="A14" s="29">
        <v>1</v>
      </c>
      <c r="B14" s="35" t="s">
        <v>20</v>
      </c>
      <c r="C14" s="29">
        <v>20.833333333333336</v>
      </c>
      <c r="D14" s="29">
        <v>10</v>
      </c>
      <c r="E14" s="29">
        <v>40.8775820854</v>
      </c>
      <c r="F14" s="29">
        <v>67.612460347500004</v>
      </c>
      <c r="G14" s="28">
        <v>56</v>
      </c>
      <c r="H14" s="29">
        <f>F14/SQRT(G14)</f>
        <v>9.0350950606137008</v>
      </c>
      <c r="I14" s="29">
        <f t="shared" ref="I14:I34" si="0">H14*2.169*SQRT(2)/SQRT($E$5)</f>
        <v>13.857257282688288</v>
      </c>
      <c r="J14" s="29">
        <v>9.5642637380900002</v>
      </c>
      <c r="K14" s="29">
        <v>14.6711305228</v>
      </c>
      <c r="L14" s="36"/>
      <c r="M14" s="36"/>
      <c r="N14" s="38"/>
      <c r="O14" s="38"/>
    </row>
    <row r="15" spans="1:15">
      <c r="A15" s="29">
        <v>2</v>
      </c>
      <c r="B15" s="35" t="s">
        <v>21</v>
      </c>
      <c r="C15" s="29">
        <v>25</v>
      </c>
      <c r="D15" s="29">
        <v>10</v>
      </c>
      <c r="E15" s="29">
        <v>34.010148295</v>
      </c>
      <c r="F15" s="29">
        <v>62.128258901499997</v>
      </c>
      <c r="G15" s="28">
        <v>124</v>
      </c>
      <c r="H15" s="29">
        <f t="shared" ref="H15:H34" si="1">F15/SQRT(G15)</f>
        <v>5.5792823522007868</v>
      </c>
      <c r="I15" s="29">
        <f t="shared" si="0"/>
        <v>8.5570268479230744</v>
      </c>
      <c r="J15" s="29">
        <v>5.8876011423400003</v>
      </c>
      <c r="K15" s="29">
        <v>9.0313031081999995</v>
      </c>
      <c r="L15" s="36"/>
      <c r="M15" s="36"/>
      <c r="N15" s="38"/>
      <c r="O15" s="38"/>
    </row>
    <row r="16" spans="1:15">
      <c r="A16" s="29">
        <v>3</v>
      </c>
      <c r="B16" s="35" t="s">
        <v>20</v>
      </c>
      <c r="C16" s="29">
        <v>30</v>
      </c>
      <c r="D16" s="29">
        <v>20.802514792899998</v>
      </c>
      <c r="E16" s="29">
        <v>31.867202236299999</v>
      </c>
      <c r="F16" s="29">
        <v>50.116</v>
      </c>
      <c r="G16" s="28">
        <v>56</v>
      </c>
      <c r="H16" s="29">
        <f t="shared" si="1"/>
        <v>6.6970321998415301</v>
      </c>
      <c r="I16" s="29">
        <f t="shared" si="0"/>
        <v>10.271336117779427</v>
      </c>
      <c r="J16" s="29">
        <v>6.6969999999999992</v>
      </c>
      <c r="K16" s="29">
        <v>10.272929983199999</v>
      </c>
      <c r="M16" s="36"/>
      <c r="N16" s="38"/>
      <c r="O16" s="38"/>
    </row>
    <row r="17" spans="1:15">
      <c r="A17" s="29">
        <v>4</v>
      </c>
      <c r="B17" s="35" t="s">
        <v>21</v>
      </c>
      <c r="C17" s="29">
        <v>36</v>
      </c>
      <c r="D17" s="29">
        <v>20.736000000000001</v>
      </c>
      <c r="E17" s="29">
        <v>26.581900032499998</v>
      </c>
      <c r="F17" s="29">
        <v>46.0258391948</v>
      </c>
      <c r="G17" s="28">
        <v>124</v>
      </c>
      <c r="H17" s="29">
        <f t="shared" si="1"/>
        <v>4.1332423748089147</v>
      </c>
      <c r="I17" s="29">
        <f t="shared" si="0"/>
        <v>6.3392142102759781</v>
      </c>
      <c r="J17" s="29">
        <v>4.13324237481</v>
      </c>
      <c r="K17" s="29">
        <v>6.3401993110700001</v>
      </c>
      <c r="L17" s="36"/>
      <c r="M17" s="36"/>
      <c r="N17" s="38"/>
      <c r="O17" s="38"/>
    </row>
    <row r="18" spans="1:15">
      <c r="A18" s="29">
        <v>5</v>
      </c>
      <c r="B18" s="35" t="s">
        <v>20</v>
      </c>
      <c r="C18" s="29">
        <v>43.199999999999996</v>
      </c>
      <c r="D18" s="29">
        <v>43.136094674600002</v>
      </c>
      <c r="E18" s="29">
        <v>27.304657912</v>
      </c>
      <c r="F18" s="29">
        <v>41.903084749800001</v>
      </c>
      <c r="G18" s="28">
        <v>56</v>
      </c>
      <c r="H18" s="29">
        <f t="shared" si="1"/>
        <v>5.5995352350965595</v>
      </c>
      <c r="I18" s="29">
        <f t="shared" si="0"/>
        <v>8.5880889902824062</v>
      </c>
      <c r="J18" s="29">
        <v>5.5995352351000003</v>
      </c>
      <c r="K18" s="29">
        <v>8.5894235615800003</v>
      </c>
      <c r="L18" s="36"/>
      <c r="M18" s="36"/>
      <c r="N18" s="38"/>
      <c r="O18" s="38"/>
    </row>
    <row r="19" spans="1:15">
      <c r="A19" s="29">
        <v>6</v>
      </c>
      <c r="B19" s="35" t="s">
        <v>21</v>
      </c>
      <c r="C19" s="29">
        <v>51.839999999999996</v>
      </c>
      <c r="D19" s="29">
        <v>42.931840000000001</v>
      </c>
      <c r="E19" s="29">
        <v>22.7103439276</v>
      </c>
      <c r="F19" s="29">
        <v>38.8077275996</v>
      </c>
      <c r="G19" s="28">
        <v>124</v>
      </c>
      <c r="H19" s="29">
        <f t="shared" si="1"/>
        <v>3.4850368182494833</v>
      </c>
      <c r="I19" s="29">
        <f t="shared" si="0"/>
        <v>5.3450518789388592</v>
      </c>
      <c r="J19" s="29">
        <v>3.4849999999999999</v>
      </c>
      <c r="K19" s="29">
        <v>5.3458824889600001</v>
      </c>
      <c r="M19" s="36"/>
      <c r="N19" s="38"/>
      <c r="O19" s="38"/>
    </row>
    <row r="20" spans="1:15">
      <c r="A20" s="29">
        <v>7</v>
      </c>
      <c r="B20" s="35" t="s">
        <v>22</v>
      </c>
      <c r="C20" s="29">
        <v>62.207999999999991</v>
      </c>
      <c r="D20" s="29">
        <v>10</v>
      </c>
      <c r="E20" s="29">
        <v>13.669673752</v>
      </c>
      <c r="F20" s="29">
        <v>41.207214979200003</v>
      </c>
      <c r="G20" s="28">
        <v>136</v>
      </c>
      <c r="H20" s="29">
        <f t="shared" si="1"/>
        <v>3.5334895332979985</v>
      </c>
      <c r="I20" s="29">
        <f t="shared" si="0"/>
        <v>5.4193645158251007</v>
      </c>
      <c r="J20" s="29">
        <v>3.6509499090699999</v>
      </c>
      <c r="K20" s="29">
        <v>5.60038536315</v>
      </c>
      <c r="L20" s="36"/>
      <c r="M20" s="36"/>
      <c r="N20" s="38"/>
      <c r="O20" s="38"/>
    </row>
    <row r="21" spans="1:15">
      <c r="A21" s="29">
        <v>8</v>
      </c>
      <c r="B21" s="35" t="s">
        <v>23</v>
      </c>
      <c r="C21" s="29">
        <v>74.649599999999992</v>
      </c>
      <c r="D21" s="29">
        <v>10</v>
      </c>
      <c r="E21" s="29">
        <v>11.3898688195</v>
      </c>
      <c r="F21" s="29">
        <v>38.675354088100001</v>
      </c>
      <c r="G21" s="28">
        <v>202</v>
      </c>
      <c r="H21" s="29">
        <f t="shared" si="1"/>
        <v>2.7211884177961818</v>
      </c>
      <c r="I21" s="29">
        <f t="shared" si="0"/>
        <v>4.1735264285655296</v>
      </c>
      <c r="J21" s="29">
        <v>2.7981504075199997</v>
      </c>
      <c r="K21" s="29">
        <v>4.2922310567000004</v>
      </c>
      <c r="L21" s="36"/>
      <c r="M21" s="36"/>
      <c r="N21" s="38"/>
      <c r="O21" s="38"/>
    </row>
    <row r="22" spans="1:15">
      <c r="A22" s="29">
        <v>9</v>
      </c>
      <c r="B22" s="35" t="s">
        <v>22</v>
      </c>
      <c r="C22" s="29">
        <v>89.579519999999988</v>
      </c>
      <c r="D22" s="29">
        <v>20.750819366999998</v>
      </c>
      <c r="E22" s="29">
        <v>10.681871389399999</v>
      </c>
      <c r="F22" s="29">
        <v>32.366</v>
      </c>
      <c r="G22" s="28">
        <v>136</v>
      </c>
      <c r="H22" s="29">
        <f t="shared" si="1"/>
        <v>2.7753616033612203</v>
      </c>
      <c r="I22" s="29">
        <f t="shared" si="0"/>
        <v>4.2566126346498478</v>
      </c>
      <c r="J22" s="29">
        <v>2.77536539853</v>
      </c>
      <c r="K22" s="29">
        <v>4.2572799250800006</v>
      </c>
      <c r="L22" s="36"/>
      <c r="M22" s="36"/>
      <c r="N22" s="38"/>
      <c r="O22" s="38"/>
    </row>
    <row r="23" spans="1:15">
      <c r="A23" s="29">
        <v>10</v>
      </c>
      <c r="B23" s="35" t="s">
        <v>23</v>
      </c>
      <c r="C23" s="29">
        <v>107.49542399999999</v>
      </c>
      <c r="D23" s="29">
        <v>20.765350861400002</v>
      </c>
      <c r="E23" s="29">
        <v>8.9045589852999996</v>
      </c>
      <c r="F23" s="29">
        <v>31.3657790068</v>
      </c>
      <c r="G23" s="28">
        <v>202</v>
      </c>
      <c r="H23" s="29">
        <f t="shared" si="1"/>
        <v>2.2068885097737412</v>
      </c>
      <c r="I23" s="29">
        <f t="shared" si="0"/>
        <v>3.384737146536017</v>
      </c>
      <c r="J23" s="29">
        <v>2.2068885097700002</v>
      </c>
      <c r="K23" s="29">
        <v>3.38526312769</v>
      </c>
      <c r="L23" s="36"/>
      <c r="M23" s="36"/>
      <c r="N23" s="38"/>
      <c r="O23" s="38"/>
    </row>
    <row r="24" spans="1:15">
      <c r="A24" s="29">
        <v>11</v>
      </c>
      <c r="B24" s="35" t="s">
        <v>22</v>
      </c>
      <c r="C24" s="29">
        <v>128.99450879999998</v>
      </c>
      <c r="D24" s="29">
        <v>43.012892753400003</v>
      </c>
      <c r="E24" s="29">
        <v>9.1343940881000005</v>
      </c>
      <c r="F24" s="29">
        <v>30.867435090299999</v>
      </c>
      <c r="G24" s="28">
        <v>136</v>
      </c>
      <c r="H24" s="29">
        <f t="shared" si="1"/>
        <v>2.6468607224823395</v>
      </c>
      <c r="I24" s="29">
        <f t="shared" si="0"/>
        <v>4.0595289564544599</v>
      </c>
      <c r="J24" s="29">
        <v>2.64686072248</v>
      </c>
      <c r="K24" s="29">
        <v>4.06015979887</v>
      </c>
      <c r="L24" s="36"/>
      <c r="M24" s="36"/>
      <c r="N24" s="38"/>
      <c r="O24" s="38"/>
    </row>
    <row r="25" spans="1:15">
      <c r="A25" s="29">
        <v>12</v>
      </c>
      <c r="B25" s="35" t="s">
        <v>23</v>
      </c>
      <c r="C25" s="29">
        <v>154.79341055999996</v>
      </c>
      <c r="D25" s="29">
        <v>43.059031546299998</v>
      </c>
      <c r="E25" s="29">
        <v>7.6174175515</v>
      </c>
      <c r="F25" s="29">
        <v>32.070852037900003</v>
      </c>
      <c r="G25" s="28">
        <v>202</v>
      </c>
      <c r="H25" s="29">
        <f t="shared" si="1"/>
        <v>2.2564972751274919</v>
      </c>
      <c r="I25" s="29">
        <f t="shared" si="0"/>
        <v>3.460822834663436</v>
      </c>
      <c r="J25" s="29">
        <v>2.2564972751200001</v>
      </c>
      <c r="K25" s="29">
        <v>3.4613606393799996</v>
      </c>
      <c r="L25" s="36"/>
      <c r="M25" s="36"/>
      <c r="N25" s="38"/>
      <c r="O25" s="38"/>
    </row>
    <row r="26" spans="1:15">
      <c r="A26" s="29">
        <v>13</v>
      </c>
      <c r="B26" s="35" t="s">
        <v>24</v>
      </c>
      <c r="C26" s="29">
        <v>185.75209267199995</v>
      </c>
      <c r="D26" s="29">
        <v>10</v>
      </c>
      <c r="E26" s="29">
        <v>4.5774089226000001</v>
      </c>
      <c r="F26" s="29">
        <v>40.782730092500003</v>
      </c>
      <c r="G26" s="28">
        <v>220</v>
      </c>
      <c r="H26" s="29">
        <f t="shared" si="1"/>
        <v>2.7495711019239026</v>
      </c>
      <c r="I26" s="29">
        <f t="shared" si="0"/>
        <v>4.2170573658376371</v>
      </c>
      <c r="J26" s="29">
        <v>2.77</v>
      </c>
      <c r="K26" s="29">
        <v>4.2491233196599998</v>
      </c>
      <c r="M26" s="36"/>
      <c r="N26" s="38"/>
      <c r="O26" s="38"/>
    </row>
    <row r="27" spans="1:15">
      <c r="A27" s="29">
        <v>14</v>
      </c>
      <c r="B27" s="35" t="s">
        <v>25</v>
      </c>
      <c r="C27" s="29">
        <v>222.90251120639994</v>
      </c>
      <c r="D27" s="29">
        <v>10</v>
      </c>
      <c r="E27" s="29">
        <v>3.8145074354999999</v>
      </c>
      <c r="F27" s="29">
        <v>49.318503921400001</v>
      </c>
      <c r="G27" s="28">
        <v>200</v>
      </c>
      <c r="H27" s="29">
        <f t="shared" si="1"/>
        <v>3.4873448560797278</v>
      </c>
      <c r="I27" s="29">
        <f t="shared" si="0"/>
        <v>5.3485917502758307</v>
      </c>
      <c r="J27" s="29">
        <v>3.5056974367200002</v>
      </c>
      <c r="K27" s="29">
        <v>5.3775749055000004</v>
      </c>
      <c r="L27" s="36"/>
      <c r="M27" s="36"/>
      <c r="N27" s="38"/>
      <c r="O27" s="38"/>
    </row>
    <row r="28" spans="1:15">
      <c r="A28" s="29">
        <v>15</v>
      </c>
      <c r="B28" s="35" t="s">
        <v>24</v>
      </c>
      <c r="C28" s="29">
        <v>267.48301344767992</v>
      </c>
      <c r="D28" s="29">
        <v>20.727940503399999</v>
      </c>
      <c r="E28" s="29">
        <v>3.5777465157999999</v>
      </c>
      <c r="F28" s="29">
        <v>60.858118590099998</v>
      </c>
      <c r="G28" s="28">
        <v>220</v>
      </c>
      <c r="H28" s="29">
        <f t="shared" si="1"/>
        <v>4.1030535183217092</v>
      </c>
      <c r="I28" s="29">
        <f t="shared" si="0"/>
        <v>6.2929131200708515</v>
      </c>
      <c r="J28" s="29">
        <v>4.1030535183199994</v>
      </c>
      <c r="K28" s="29">
        <v>6.2938910257700007</v>
      </c>
      <c r="L28" s="36"/>
      <c r="M28" s="36"/>
      <c r="N28" s="38"/>
      <c r="O28" s="38"/>
    </row>
    <row r="29" spans="1:15">
      <c r="A29" s="29">
        <v>16</v>
      </c>
      <c r="B29" s="35" t="s">
        <v>25</v>
      </c>
      <c r="C29" s="29">
        <v>320.97961613721588</v>
      </c>
      <c r="D29" s="29">
        <v>20.739101058100001</v>
      </c>
      <c r="E29" s="29">
        <v>2.9812436747</v>
      </c>
      <c r="F29" s="29">
        <v>100.37390000000001</v>
      </c>
      <c r="G29" s="28">
        <v>200</v>
      </c>
      <c r="H29" s="29">
        <f t="shared" si="1"/>
        <v>7.0975065344140402</v>
      </c>
      <c r="I29" s="29">
        <f t="shared" si="0"/>
        <v>10.885549455</v>
      </c>
      <c r="J29" s="29">
        <v>7.0975100053400002</v>
      </c>
      <c r="K29" s="29">
        <v>10.8872463711</v>
      </c>
      <c r="L29" s="36"/>
      <c r="M29" s="36"/>
      <c r="N29" s="38"/>
      <c r="O29" s="38"/>
    </row>
    <row r="30" spans="1:15">
      <c r="A30" s="29">
        <v>17</v>
      </c>
      <c r="B30" s="35" t="s">
        <v>24</v>
      </c>
      <c r="C30" s="29">
        <v>385.17553936465907</v>
      </c>
      <c r="D30" s="29">
        <v>42.981457427899997</v>
      </c>
      <c r="E30" s="29">
        <v>3.0586120528</v>
      </c>
      <c r="F30" s="29">
        <v>201.44800000000001</v>
      </c>
      <c r="G30" s="28">
        <v>220</v>
      </c>
      <c r="H30" s="29">
        <f t="shared" si="1"/>
        <v>13.58162138934952</v>
      </c>
      <c r="I30" s="29">
        <f t="shared" si="0"/>
        <v>20.830331130516637</v>
      </c>
      <c r="J30" s="29">
        <v>13.5816228667</v>
      </c>
      <c r="K30" s="29">
        <v>20.833570387200002</v>
      </c>
      <c r="L30" s="36"/>
      <c r="M30" s="36"/>
      <c r="N30" s="38"/>
      <c r="O30" s="38"/>
    </row>
    <row r="31" spans="1:15">
      <c r="A31" s="29">
        <v>18</v>
      </c>
      <c r="B31" s="35" t="s">
        <v>25</v>
      </c>
      <c r="C31" s="29">
        <v>462.21064723759088</v>
      </c>
      <c r="D31" s="29">
        <v>42.997157458399997</v>
      </c>
      <c r="E31" s="29">
        <v>2.549070661</v>
      </c>
      <c r="F31" s="29">
        <v>513.94690000000003</v>
      </c>
      <c r="G31" s="28">
        <v>200</v>
      </c>
      <c r="H31" s="29">
        <f t="shared" si="1"/>
        <v>36.341533815980441</v>
      </c>
      <c r="I31" s="29">
        <f t="shared" si="0"/>
        <v>55.737541305000001</v>
      </c>
      <c r="J31" s="29">
        <v>36.341532364800003</v>
      </c>
      <c r="K31" s="29">
        <v>55.746200577700002</v>
      </c>
      <c r="L31" s="36"/>
      <c r="M31" s="36"/>
      <c r="N31" s="38"/>
      <c r="O31" s="38"/>
    </row>
    <row r="32" spans="1:15">
      <c r="A32" s="29">
        <v>19</v>
      </c>
      <c r="B32" s="35" t="s">
        <v>26</v>
      </c>
      <c r="C32" s="29">
        <v>554.65277668510907</v>
      </c>
      <c r="D32" s="29">
        <v>10</v>
      </c>
      <c r="E32" s="29">
        <v>1.5329553906</v>
      </c>
      <c r="F32" s="29">
        <v>1799.8439000000001</v>
      </c>
      <c r="G32" s="28">
        <v>80</v>
      </c>
      <c r="H32" s="29">
        <f t="shared" si="1"/>
        <v>201.22866546441668</v>
      </c>
      <c r="I32" s="29">
        <f t="shared" si="0"/>
        <v>308.62734385032894</v>
      </c>
      <c r="J32" s="29">
        <v>201.51300000000001</v>
      </c>
      <c r="K32" s="29">
        <v>309.1114</v>
      </c>
      <c r="N32" s="38"/>
      <c r="O32" s="38"/>
    </row>
    <row r="33" spans="1:15">
      <c r="A33" s="29">
        <v>20</v>
      </c>
      <c r="B33" s="35" t="s">
        <v>77</v>
      </c>
      <c r="C33" s="29">
        <v>665.58333202213089</v>
      </c>
      <c r="D33" s="29">
        <v>10</v>
      </c>
      <c r="E33" s="29">
        <v>1.2774244401999999</v>
      </c>
      <c r="F33" s="29">
        <v>7986.0282999999999</v>
      </c>
      <c r="G33" s="28">
        <v>70</v>
      </c>
      <c r="H33" s="29">
        <f t="shared" si="1"/>
        <v>954.51294991141117</v>
      </c>
      <c r="I33" s="29">
        <f t="shared" si="0"/>
        <v>1463.9504551800205</v>
      </c>
      <c r="J33" s="29">
        <v>955.62670000000003</v>
      </c>
      <c r="K33" s="29">
        <v>1465.8863999999999</v>
      </c>
      <c r="N33" s="38"/>
      <c r="O33" s="38"/>
    </row>
    <row r="34" spans="1:15">
      <c r="A34" s="28">
        <v>21</v>
      </c>
      <c r="B34" s="35" t="s">
        <v>78</v>
      </c>
      <c r="C34" s="29">
        <v>798.69999842655704</v>
      </c>
      <c r="D34" s="13">
        <v>10</v>
      </c>
      <c r="E34" s="29">
        <v>1.0645470231</v>
      </c>
      <c r="F34" s="29">
        <v>50178.707799999996</v>
      </c>
      <c r="G34" s="28">
        <v>60</v>
      </c>
      <c r="H34" s="29">
        <f t="shared" si="1"/>
        <v>6478.043321453606</v>
      </c>
      <c r="I34" s="29">
        <f t="shared" si="0"/>
        <v>9935.4696759201343</v>
      </c>
      <c r="J34" s="29">
        <v>6484.1795000000002</v>
      </c>
      <c r="K34" s="29">
        <v>9946.4261999999999</v>
      </c>
      <c r="N34" s="38"/>
      <c r="O34" s="38"/>
    </row>
    <row r="35" spans="1:15">
      <c r="J35" s="37"/>
    </row>
    <row r="36" spans="1:15">
      <c r="A36" s="21" t="s">
        <v>18</v>
      </c>
      <c r="B36" s="21" t="s">
        <v>19</v>
      </c>
      <c r="C36" s="21" t="s">
        <v>6</v>
      </c>
      <c r="E36" s="36"/>
      <c r="F36" t="s">
        <v>123</v>
      </c>
      <c r="G36" s="17">
        <f>SUM(G14:G34)</f>
        <v>3024</v>
      </c>
      <c r="H36" s="36"/>
      <c r="I36" s="36"/>
      <c r="J36" s="37"/>
    </row>
    <row r="37" spans="1:15">
      <c r="A37" s="9" t="s">
        <v>20</v>
      </c>
      <c r="B37" s="3">
        <v>1</v>
      </c>
      <c r="C37" s="22">
        <v>20.833333333333336</v>
      </c>
      <c r="E37" s="36"/>
      <c r="F37" s="36"/>
      <c r="H37" s="36"/>
      <c r="I37" s="36"/>
      <c r="J37" s="37"/>
    </row>
    <row r="38" spans="1:15">
      <c r="A38" s="11"/>
      <c r="B38" s="4">
        <v>3</v>
      </c>
      <c r="C38" s="4">
        <v>30</v>
      </c>
      <c r="E38" s="36"/>
      <c r="F38" s="36"/>
      <c r="I38" s="36"/>
      <c r="J38" s="37"/>
    </row>
    <row r="39" spans="1:15">
      <c r="A39" s="10"/>
      <c r="B39" s="5">
        <v>5</v>
      </c>
      <c r="C39" s="6">
        <v>43.2</v>
      </c>
      <c r="E39" s="36"/>
      <c r="F39" s="36"/>
      <c r="H39" s="36"/>
      <c r="I39" s="36"/>
      <c r="J39" s="37"/>
    </row>
    <row r="40" spans="1:15">
      <c r="A40" s="9" t="s">
        <v>21</v>
      </c>
      <c r="B40" s="3">
        <v>2</v>
      </c>
      <c r="C40" s="3">
        <v>25</v>
      </c>
      <c r="E40" s="36"/>
      <c r="F40" s="36"/>
      <c r="H40" s="36"/>
      <c r="I40" s="36"/>
      <c r="J40" s="37"/>
    </row>
    <row r="41" spans="1:15">
      <c r="A41" s="11"/>
      <c r="B41" s="4">
        <v>4</v>
      </c>
      <c r="C41" s="7">
        <v>36</v>
      </c>
      <c r="E41" s="36"/>
      <c r="F41" s="36"/>
      <c r="I41" s="36"/>
      <c r="J41" s="37"/>
    </row>
    <row r="42" spans="1:15">
      <c r="A42" s="10"/>
      <c r="B42" s="5">
        <v>6</v>
      </c>
      <c r="C42" s="6">
        <v>51.8</v>
      </c>
      <c r="E42" s="36"/>
      <c r="F42" s="36"/>
      <c r="H42" s="36"/>
      <c r="I42" s="36"/>
      <c r="J42" s="37"/>
    </row>
    <row r="43" spans="1:15">
      <c r="A43" s="9" t="s">
        <v>22</v>
      </c>
      <c r="B43" s="3">
        <v>7</v>
      </c>
      <c r="C43" s="8">
        <v>62.2</v>
      </c>
      <c r="E43" s="36"/>
      <c r="F43" s="36"/>
      <c r="H43" s="36"/>
      <c r="I43" s="36"/>
      <c r="J43" s="37"/>
    </row>
    <row r="44" spans="1:15">
      <c r="A44" s="11"/>
      <c r="B44" s="4">
        <v>9</v>
      </c>
      <c r="C44" s="7">
        <v>89.6</v>
      </c>
      <c r="E44" s="36"/>
      <c r="F44" s="36"/>
      <c r="H44" s="36"/>
      <c r="I44" s="36"/>
      <c r="J44" s="37"/>
    </row>
    <row r="45" spans="1:15">
      <c r="A45" s="10"/>
      <c r="B45" s="5">
        <v>11</v>
      </c>
      <c r="C45" s="6">
        <v>129</v>
      </c>
      <c r="E45" s="36"/>
      <c r="F45" s="36"/>
      <c r="H45" s="36"/>
      <c r="I45" s="36"/>
      <c r="J45" s="37"/>
    </row>
    <row r="46" spans="1:15">
      <c r="A46" s="9" t="s">
        <v>23</v>
      </c>
      <c r="B46" s="3">
        <v>8</v>
      </c>
      <c r="C46" s="8">
        <v>74.599999999999994</v>
      </c>
      <c r="E46" s="36"/>
      <c r="F46" s="36"/>
      <c r="H46" s="36"/>
      <c r="I46" s="36"/>
      <c r="J46" s="37"/>
    </row>
    <row r="47" spans="1:15">
      <c r="A47" s="11"/>
      <c r="B47" s="4">
        <v>10</v>
      </c>
      <c r="C47" s="7">
        <v>107.5</v>
      </c>
      <c r="E47" s="36"/>
      <c r="F47" s="36"/>
      <c r="H47" s="36"/>
      <c r="I47" s="36"/>
      <c r="J47" s="37"/>
    </row>
    <row r="48" spans="1:15">
      <c r="A48" s="10"/>
      <c r="B48" s="5">
        <v>12</v>
      </c>
      <c r="C48" s="6">
        <v>154.80000000000001</v>
      </c>
      <c r="E48" s="36"/>
      <c r="F48" s="36"/>
      <c r="H48" s="36"/>
      <c r="I48" s="36"/>
      <c r="J48" s="37"/>
    </row>
    <row r="49" spans="1:10">
      <c r="A49" s="9" t="s">
        <v>24</v>
      </c>
      <c r="B49" s="3">
        <v>13</v>
      </c>
      <c r="C49" s="8">
        <v>185.8</v>
      </c>
      <c r="E49" s="36"/>
      <c r="F49" s="36"/>
      <c r="H49" s="36"/>
      <c r="I49" s="36"/>
      <c r="J49" s="37"/>
    </row>
    <row r="50" spans="1:10">
      <c r="A50" s="11"/>
      <c r="B50" s="4">
        <v>15</v>
      </c>
      <c r="C50" s="7">
        <v>267.5</v>
      </c>
      <c r="E50" s="36"/>
      <c r="F50" s="36"/>
      <c r="H50" s="36"/>
      <c r="I50" s="36"/>
      <c r="J50" s="37"/>
    </row>
    <row r="51" spans="1:10">
      <c r="A51" s="10"/>
      <c r="B51" s="5">
        <v>17</v>
      </c>
      <c r="C51" s="6">
        <v>385.2</v>
      </c>
      <c r="E51" s="36"/>
      <c r="F51" s="36"/>
      <c r="H51" s="36"/>
      <c r="I51" s="36"/>
      <c r="J51" s="37"/>
    </row>
    <row r="52" spans="1:10">
      <c r="A52" s="9" t="s">
        <v>25</v>
      </c>
      <c r="B52" s="3">
        <v>14</v>
      </c>
      <c r="C52" s="8">
        <v>222.9</v>
      </c>
      <c r="E52" s="36"/>
      <c r="F52" s="36"/>
      <c r="H52" s="36"/>
      <c r="I52" s="36"/>
      <c r="J52" s="37"/>
    </row>
    <row r="53" spans="1:10">
      <c r="A53" s="11"/>
      <c r="B53" s="4">
        <v>16</v>
      </c>
      <c r="C53" s="7">
        <v>321</v>
      </c>
      <c r="E53" s="36"/>
      <c r="H53" s="36"/>
      <c r="I53" s="36"/>
      <c r="J53" s="37"/>
    </row>
    <row r="54" spans="1:10">
      <c r="A54" s="5"/>
      <c r="B54" s="23">
        <v>18</v>
      </c>
      <c r="C54" s="24">
        <v>462.2</v>
      </c>
      <c r="E54" s="36"/>
      <c r="J54" s="37"/>
    </row>
    <row r="55" spans="1:10">
      <c r="A55" s="25" t="s">
        <v>26</v>
      </c>
      <c r="B55" s="26">
        <v>19</v>
      </c>
      <c r="C55" s="27">
        <v>554.70000000000005</v>
      </c>
      <c r="E55" s="36"/>
      <c r="J55" s="37"/>
    </row>
    <row r="56" spans="1:10">
      <c r="A56" s="25" t="s">
        <v>77</v>
      </c>
      <c r="B56" s="26">
        <v>20</v>
      </c>
      <c r="C56" s="27">
        <v>665.6</v>
      </c>
      <c r="E56" s="36"/>
      <c r="J56" s="37"/>
    </row>
    <row r="57" spans="1:10">
      <c r="A57" s="25" t="s">
        <v>78</v>
      </c>
      <c r="B57" s="26">
        <v>21</v>
      </c>
      <c r="C57" s="27">
        <v>798.7</v>
      </c>
    </row>
  </sheetData>
  <mergeCells count="1">
    <mergeCell ref="C5:D5"/>
  </mergeCells>
  <pageMargins left="0.75" right="0.75" top="1" bottom="1" header="0.5" footer="0.5"/>
  <pageSetup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P57"/>
  <sheetViews>
    <sheetView workbookViewId="0">
      <selection activeCell="J11" sqref="J11:K13"/>
    </sheetView>
  </sheetViews>
  <sheetFormatPr defaultColWidth="11.44140625" defaultRowHeight="15"/>
  <cols>
    <col min="6" max="6" width="12" customWidth="1"/>
    <col min="7" max="7" width="11.44140625" customWidth="1"/>
  </cols>
  <sheetData>
    <row r="3" spans="1:16">
      <c r="A3" s="33" t="s">
        <v>117</v>
      </c>
    </row>
    <row r="4" spans="1:16">
      <c r="A4" s="30" t="s">
        <v>115</v>
      </c>
      <c r="B4" s="4"/>
      <c r="C4" s="4"/>
      <c r="D4" s="4"/>
      <c r="E4" s="4"/>
      <c r="F4" s="4"/>
      <c r="G4" s="4"/>
    </row>
    <row r="5" spans="1:16">
      <c r="A5" s="32">
        <v>43040</v>
      </c>
      <c r="B5" s="31"/>
      <c r="C5" s="74" t="s">
        <v>89</v>
      </c>
      <c r="D5" s="74"/>
      <c r="E5" s="31">
        <v>4</v>
      </c>
      <c r="F5" s="31" t="s">
        <v>90</v>
      </c>
      <c r="G5" s="31"/>
    </row>
    <row r="6" spans="1:16">
      <c r="B6" s="31"/>
      <c r="C6" s="31"/>
      <c r="D6" s="31"/>
      <c r="E6" s="31"/>
      <c r="F6" s="31"/>
      <c r="G6" s="31"/>
    </row>
    <row r="7" spans="1:16">
      <c r="B7" s="41" t="s">
        <v>93</v>
      </c>
      <c r="C7" s="36" t="s">
        <v>94</v>
      </c>
      <c r="D7" s="31" t="s">
        <v>118</v>
      </c>
      <c r="E7" s="31"/>
      <c r="F7" s="31"/>
      <c r="G7" s="31"/>
    </row>
    <row r="8" spans="1:16">
      <c r="B8" s="36"/>
      <c r="C8" s="36" t="s">
        <v>95</v>
      </c>
      <c r="D8" s="31" t="s">
        <v>121</v>
      </c>
      <c r="E8" s="31"/>
      <c r="F8" s="31"/>
      <c r="G8" s="31"/>
    </row>
    <row r="9" spans="1:16">
      <c r="B9" s="36"/>
      <c r="C9" s="36" t="s">
        <v>96</v>
      </c>
      <c r="D9" s="31"/>
      <c r="E9" s="31"/>
      <c r="F9" s="31"/>
      <c r="G9" s="31"/>
    </row>
    <row r="10" spans="1:16">
      <c r="B10" s="31"/>
      <c r="C10" s="31"/>
      <c r="D10" s="31"/>
      <c r="E10" s="31"/>
      <c r="F10" s="31"/>
      <c r="G10" s="31"/>
    </row>
    <row r="11" spans="1:16">
      <c r="A11" s="31"/>
      <c r="B11" s="31"/>
      <c r="C11" s="31"/>
      <c r="D11" s="31"/>
      <c r="E11" s="31"/>
      <c r="F11" s="31"/>
      <c r="G11" s="31"/>
      <c r="J11" t="s">
        <v>119</v>
      </c>
    </row>
    <row r="12" spans="1:16">
      <c r="A12" s="34"/>
      <c r="B12" s="34"/>
      <c r="C12" s="34" t="s">
        <v>6</v>
      </c>
      <c r="D12" s="34" t="s">
        <v>85</v>
      </c>
      <c r="E12" s="34" t="s">
        <v>61</v>
      </c>
      <c r="F12" s="34" t="s">
        <v>86</v>
      </c>
      <c r="G12" s="34"/>
      <c r="H12" s="34" t="s">
        <v>87</v>
      </c>
      <c r="I12" s="34" t="s">
        <v>88</v>
      </c>
      <c r="J12" s="34" t="s">
        <v>87</v>
      </c>
      <c r="K12" s="34" t="s">
        <v>88</v>
      </c>
    </row>
    <row r="13" spans="1:16">
      <c r="A13" s="34" t="s">
        <v>10</v>
      </c>
      <c r="B13" s="34" t="s">
        <v>80</v>
      </c>
      <c r="C13" s="34" t="s">
        <v>75</v>
      </c>
      <c r="D13" s="34" t="s">
        <v>82</v>
      </c>
      <c r="E13" s="34" t="s">
        <v>72</v>
      </c>
      <c r="F13" s="34" t="s">
        <v>83</v>
      </c>
      <c r="G13" s="34" t="s">
        <v>81</v>
      </c>
      <c r="H13" s="34" t="s">
        <v>83</v>
      </c>
      <c r="I13" s="34" t="s">
        <v>84</v>
      </c>
      <c r="J13" s="34" t="s">
        <v>83</v>
      </c>
      <c r="K13" s="34" t="s">
        <v>84</v>
      </c>
    </row>
    <row r="14" spans="1:16">
      <c r="A14" s="29">
        <v>1</v>
      </c>
      <c r="B14" s="35" t="s">
        <v>20</v>
      </c>
      <c r="C14" s="29">
        <v>20.833333333333336</v>
      </c>
      <c r="D14" s="29">
        <v>10</v>
      </c>
      <c r="E14" s="29">
        <v>40.8775820854</v>
      </c>
      <c r="F14" s="29">
        <v>67.594786534299999</v>
      </c>
      <c r="G14" s="28">
        <v>60</v>
      </c>
      <c r="H14" s="29">
        <f>F14/SQRT(G14)</f>
        <v>8.7264494179263075</v>
      </c>
      <c r="I14" s="29">
        <f t="shared" ref="I14:I34" si="0">H14*2.169*SQRT(2)/SQRT($E$5)</f>
        <v>13.383882951681596</v>
      </c>
      <c r="J14" s="42">
        <v>9.2231072063799999</v>
      </c>
      <c r="K14" s="43">
        <v>14.147812456400001</v>
      </c>
      <c r="L14" s="38"/>
      <c r="M14" s="39"/>
      <c r="N14" s="36"/>
      <c r="O14" s="38"/>
      <c r="P14" s="38"/>
    </row>
    <row r="15" spans="1:16">
      <c r="A15" s="29">
        <v>2</v>
      </c>
      <c r="B15" s="35" t="s">
        <v>21</v>
      </c>
      <c r="C15" s="29">
        <v>25</v>
      </c>
      <c r="D15" s="29">
        <v>10</v>
      </c>
      <c r="E15" s="29">
        <v>34.010148295</v>
      </c>
      <c r="F15" s="29">
        <v>62.112000000000002</v>
      </c>
      <c r="G15" s="28">
        <v>130</v>
      </c>
      <c r="H15" s="29">
        <f t="shared" ref="H15:H34" si="1">F15/SQRT(G15)</f>
        <v>5.44758276951982</v>
      </c>
      <c r="I15" s="29">
        <f t="shared" si="0"/>
        <v>8.355037274045932</v>
      </c>
      <c r="J15" s="42">
        <v>5.74010833048</v>
      </c>
      <c r="K15" s="43">
        <v>8.8050560751499987</v>
      </c>
      <c r="L15" s="38"/>
      <c r="M15" s="39"/>
      <c r="N15" s="36"/>
      <c r="O15" s="38"/>
      <c r="P15" s="38"/>
    </row>
    <row r="16" spans="1:16">
      <c r="A16" s="29">
        <v>3</v>
      </c>
      <c r="B16" s="35" t="s">
        <v>20</v>
      </c>
      <c r="C16" s="29">
        <v>30</v>
      </c>
      <c r="D16" s="29">
        <v>20.802514792899998</v>
      </c>
      <c r="E16" s="29">
        <v>31.867202236299999</v>
      </c>
      <c r="F16" s="29">
        <v>50.114999999999995</v>
      </c>
      <c r="G16" s="28">
        <v>60</v>
      </c>
      <c r="H16" s="29">
        <f t="shared" si="1"/>
        <v>6.4698186798394888</v>
      </c>
      <c r="I16" s="29">
        <f t="shared" si="0"/>
        <v>9.9228554229277606</v>
      </c>
      <c r="J16" s="42">
        <v>6.4698145228500001</v>
      </c>
      <c r="K16" s="43">
        <v>9.9243910375300004</v>
      </c>
      <c r="L16" s="38"/>
      <c r="M16" s="39"/>
      <c r="N16" s="36"/>
      <c r="O16" s="38"/>
      <c r="P16" s="38"/>
    </row>
    <row r="17" spans="1:16">
      <c r="A17" s="29">
        <v>4</v>
      </c>
      <c r="B17" s="35" t="s">
        <v>21</v>
      </c>
      <c r="C17" s="29">
        <v>36</v>
      </c>
      <c r="D17" s="29">
        <v>20.736000000000001</v>
      </c>
      <c r="E17" s="29">
        <v>26.581900032499998</v>
      </c>
      <c r="F17" s="29">
        <v>46.024884115599995</v>
      </c>
      <c r="G17" s="28">
        <v>130</v>
      </c>
      <c r="H17" s="29">
        <f t="shared" si="1"/>
        <v>4.0366493701263684</v>
      </c>
      <c r="I17" s="29">
        <f t="shared" si="0"/>
        <v>6.191068107925723</v>
      </c>
      <c r="J17" s="42">
        <v>4.0366493701300001</v>
      </c>
      <c r="K17" s="43">
        <v>6.1920000000000002</v>
      </c>
      <c r="L17" s="38"/>
      <c r="M17" s="39"/>
      <c r="O17" s="38"/>
      <c r="P17" s="38"/>
    </row>
    <row r="18" spans="1:16">
      <c r="A18" s="29">
        <v>5</v>
      </c>
      <c r="B18" s="35" t="s">
        <v>20</v>
      </c>
      <c r="C18" s="29">
        <v>43.199999999999996</v>
      </c>
      <c r="D18" s="29">
        <v>43.136094674600002</v>
      </c>
      <c r="E18" s="29">
        <v>27.304657912</v>
      </c>
      <c r="F18" s="29">
        <v>41.903079760700003</v>
      </c>
      <c r="G18" s="28">
        <v>60</v>
      </c>
      <c r="H18" s="29">
        <f t="shared" si="1"/>
        <v>5.4096643355997394</v>
      </c>
      <c r="I18" s="29">
        <f t="shared" si="0"/>
        <v>8.2968812180152955</v>
      </c>
      <c r="J18" s="42">
        <v>5.4096643355999996</v>
      </c>
      <c r="K18" s="43">
        <v>8.2981705362200007</v>
      </c>
      <c r="L18" s="38"/>
      <c r="M18" s="39"/>
      <c r="N18" s="36"/>
      <c r="O18" s="38"/>
      <c r="P18" s="38"/>
    </row>
    <row r="19" spans="1:16">
      <c r="A19" s="29">
        <v>6</v>
      </c>
      <c r="B19" s="35" t="s">
        <v>21</v>
      </c>
      <c r="C19" s="29">
        <v>51.839999999999996</v>
      </c>
      <c r="D19" s="29">
        <v>42.931840000000001</v>
      </c>
      <c r="E19" s="29">
        <v>22.7103439276</v>
      </c>
      <c r="F19" s="29">
        <v>38.807722731300004</v>
      </c>
      <c r="G19" s="28">
        <v>130</v>
      </c>
      <c r="H19" s="29">
        <f t="shared" si="1"/>
        <v>3.4036624432530358</v>
      </c>
      <c r="I19" s="29">
        <f t="shared" si="0"/>
        <v>5.2202468112579075</v>
      </c>
      <c r="J19" s="42">
        <v>3.40366244326</v>
      </c>
      <c r="K19" s="43">
        <v>5.2210580268299998</v>
      </c>
      <c r="L19" s="38"/>
      <c r="M19" s="39"/>
      <c r="N19" s="36"/>
      <c r="O19" s="38"/>
      <c r="P19" s="38"/>
    </row>
    <row r="20" spans="1:16">
      <c r="A20" s="29">
        <v>7</v>
      </c>
      <c r="B20" s="35" t="s">
        <v>22</v>
      </c>
      <c r="C20" s="29">
        <v>62.207999999999991</v>
      </c>
      <c r="D20" s="29">
        <v>10</v>
      </c>
      <c r="E20" s="29">
        <v>13.669673752</v>
      </c>
      <c r="F20" s="29">
        <v>41.196184805500003</v>
      </c>
      <c r="G20" s="28">
        <v>440</v>
      </c>
      <c r="H20" s="29">
        <f t="shared" si="1"/>
        <v>1.9639510515845982</v>
      </c>
      <c r="I20" s="29">
        <f t="shared" si="0"/>
        <v>3.0121404179853135</v>
      </c>
      <c r="J20" s="42">
        <v>2.0273701605000003</v>
      </c>
      <c r="K20" s="43">
        <v>3.1098904272400003</v>
      </c>
      <c r="L20" s="38"/>
      <c r="M20" s="39"/>
      <c r="N20" s="36"/>
      <c r="O20" s="38"/>
      <c r="P20" s="38"/>
    </row>
    <row r="21" spans="1:16">
      <c r="A21" s="29">
        <v>8</v>
      </c>
      <c r="B21" s="35" t="s">
        <v>23</v>
      </c>
      <c r="C21" s="29">
        <v>74.649599999999992</v>
      </c>
      <c r="D21" s="29">
        <v>10</v>
      </c>
      <c r="E21" s="29">
        <v>11.3898688195</v>
      </c>
      <c r="F21" s="29">
        <v>38.665000000000006</v>
      </c>
      <c r="G21" s="28">
        <v>540</v>
      </c>
      <c r="H21" s="29">
        <f t="shared" si="1"/>
        <v>1.6638766786789978</v>
      </c>
      <c r="I21" s="29">
        <f t="shared" si="0"/>
        <v>2.551911968655439</v>
      </c>
      <c r="J21" s="42">
        <v>1.7095912129499999</v>
      </c>
      <c r="K21" s="43">
        <v>2.6224324749600001</v>
      </c>
      <c r="L21" s="38"/>
      <c r="M21" s="39"/>
      <c r="N21" s="36"/>
      <c r="O21" s="38"/>
      <c r="P21" s="38"/>
    </row>
    <row r="22" spans="1:16">
      <c r="A22" s="29">
        <v>9</v>
      </c>
      <c r="B22" s="35" t="s">
        <v>22</v>
      </c>
      <c r="C22" s="29">
        <v>89.579519999999988</v>
      </c>
      <c r="D22" s="29">
        <v>20.750819366999998</v>
      </c>
      <c r="E22" s="29">
        <v>10.681871389399999</v>
      </c>
      <c r="F22" s="29">
        <v>32.3653534695</v>
      </c>
      <c r="G22" s="28">
        <v>440</v>
      </c>
      <c r="H22" s="29">
        <f t="shared" si="1"/>
        <v>1.5429576860439143</v>
      </c>
      <c r="I22" s="29">
        <f t="shared" si="0"/>
        <v>2.3664567432187709</v>
      </c>
      <c r="J22" s="42">
        <v>1.5430000000000001</v>
      </c>
      <c r="K22" s="43">
        <v>2.36682448571</v>
      </c>
      <c r="L22" s="38"/>
      <c r="M22" s="39"/>
      <c r="N22" s="36"/>
      <c r="O22" s="38"/>
      <c r="P22" s="38"/>
    </row>
    <row r="23" spans="1:16">
      <c r="A23" s="29">
        <v>10</v>
      </c>
      <c r="B23" s="35" t="s">
        <v>23</v>
      </c>
      <c r="C23" s="29">
        <v>107.49542399999999</v>
      </c>
      <c r="D23" s="29">
        <v>20.765350861400002</v>
      </c>
      <c r="E23" s="29">
        <v>8.9045589852999996</v>
      </c>
      <c r="F23" s="29">
        <v>31.365106339599997</v>
      </c>
      <c r="G23" s="28">
        <v>540</v>
      </c>
      <c r="H23" s="29">
        <f t="shared" si="1"/>
        <v>1.3497392722810608</v>
      </c>
      <c r="I23" s="29">
        <f t="shared" si="0"/>
        <v>2.070114839420039</v>
      </c>
      <c r="J23" s="42">
        <v>1.3497392722799999</v>
      </c>
      <c r="K23" s="43">
        <v>2.0704365309899999</v>
      </c>
      <c r="L23" s="38"/>
      <c r="M23" s="39"/>
      <c r="N23" s="36"/>
      <c r="O23" s="38"/>
      <c r="P23" s="38"/>
    </row>
    <row r="24" spans="1:16">
      <c r="A24" s="29">
        <v>11</v>
      </c>
      <c r="B24" s="35" t="s">
        <v>22</v>
      </c>
      <c r="C24" s="29">
        <v>128.99450879999998</v>
      </c>
      <c r="D24" s="29">
        <v>43.012892753400003</v>
      </c>
      <c r="E24" s="29">
        <v>9.1343940881000005</v>
      </c>
      <c r="F24" s="29">
        <v>30.867431149099996</v>
      </c>
      <c r="G24" s="28">
        <v>440</v>
      </c>
      <c r="H24" s="29">
        <f t="shared" si="1"/>
        <v>1.4715470413390466</v>
      </c>
      <c r="I24" s="29">
        <f t="shared" si="0"/>
        <v>2.2569331942401085</v>
      </c>
      <c r="J24" s="42">
        <v>1.47154704134</v>
      </c>
      <c r="K24" s="43">
        <v>2.2572839170000001</v>
      </c>
      <c r="L24" s="38"/>
      <c r="M24" s="39"/>
      <c r="N24" s="36"/>
      <c r="O24" s="38"/>
      <c r="P24" s="38"/>
    </row>
    <row r="25" spans="1:16">
      <c r="A25" s="29">
        <v>12</v>
      </c>
      <c r="B25" s="35" t="s">
        <v>23</v>
      </c>
      <c r="C25" s="29">
        <v>154.79341055999996</v>
      </c>
      <c r="D25" s="29">
        <v>43.059031546299998</v>
      </c>
      <c r="E25" s="29">
        <v>7.6174175515</v>
      </c>
      <c r="F25" s="29">
        <v>32.0708480057</v>
      </c>
      <c r="G25" s="28">
        <v>540</v>
      </c>
      <c r="H25" s="29">
        <f t="shared" si="1"/>
        <v>1.3801095580536162</v>
      </c>
      <c r="I25" s="29">
        <f t="shared" si="0"/>
        <v>2.1166941903704961</v>
      </c>
      <c r="J25" s="42">
        <v>1.38010955806</v>
      </c>
      <c r="K25" s="43">
        <v>2.117</v>
      </c>
      <c r="L25" s="38"/>
      <c r="M25" s="39"/>
      <c r="O25" s="38"/>
      <c r="P25" s="38"/>
    </row>
    <row r="26" spans="1:16">
      <c r="A26" s="29">
        <v>13</v>
      </c>
      <c r="B26" s="35" t="s">
        <v>24</v>
      </c>
      <c r="C26" s="29">
        <v>185.75209267199995</v>
      </c>
      <c r="D26" s="29">
        <v>10</v>
      </c>
      <c r="E26" s="29">
        <v>4.5774089226000001</v>
      </c>
      <c r="F26" s="29">
        <v>40.771923282799996</v>
      </c>
      <c r="G26" s="28">
        <v>660</v>
      </c>
      <c r="H26" s="29">
        <f t="shared" si="1"/>
        <v>1.5870449613547206</v>
      </c>
      <c r="I26" s="29">
        <f t="shared" si="0"/>
        <v>2.4340740414072259</v>
      </c>
      <c r="J26" s="42">
        <v>1.5985212603999999</v>
      </c>
      <c r="K26" s="43">
        <v>2.45205639419</v>
      </c>
      <c r="L26" s="38"/>
      <c r="M26" s="39"/>
      <c r="N26" s="36"/>
      <c r="O26" s="38"/>
      <c r="P26" s="38"/>
    </row>
    <row r="27" spans="1:16">
      <c r="A27" s="29">
        <v>14</v>
      </c>
      <c r="B27" s="35" t="s">
        <v>25</v>
      </c>
      <c r="C27" s="29">
        <v>222.90251120639994</v>
      </c>
      <c r="D27" s="29">
        <v>10</v>
      </c>
      <c r="E27" s="29">
        <v>3.8145074354999999</v>
      </c>
      <c r="F27" s="29">
        <v>49.306135417</v>
      </c>
      <c r="G27" s="28">
        <v>510</v>
      </c>
      <c r="H27" s="29">
        <f t="shared" si="1"/>
        <v>2.1833123736875448</v>
      </c>
      <c r="I27" s="29">
        <f t="shared" si="0"/>
        <v>3.3485780822111413</v>
      </c>
      <c r="J27" s="42">
        <v>2.19446933487</v>
      </c>
      <c r="K27" s="43">
        <v>3.36621269778</v>
      </c>
      <c r="L27" s="38"/>
      <c r="M27" s="39"/>
      <c r="N27" s="36"/>
      <c r="O27" s="38"/>
      <c r="P27" s="38"/>
    </row>
    <row r="28" spans="1:16">
      <c r="A28" s="29">
        <v>15</v>
      </c>
      <c r="B28" s="35" t="s">
        <v>24</v>
      </c>
      <c r="C28" s="29">
        <v>267.48301344767992</v>
      </c>
      <c r="D28" s="29">
        <v>20.727940503399999</v>
      </c>
      <c r="E28" s="29">
        <v>3.5777465157999999</v>
      </c>
      <c r="F28" s="29">
        <v>60.857053744999995</v>
      </c>
      <c r="G28" s="28">
        <v>660</v>
      </c>
      <c r="H28" s="29">
        <f t="shared" si="1"/>
        <v>2.3688576042631775</v>
      </c>
      <c r="I28" s="29">
        <f t="shared" si="0"/>
        <v>3.6331515128627525</v>
      </c>
      <c r="J28" s="42">
        <v>2.36885760426</v>
      </c>
      <c r="K28" s="43">
        <v>3.6337160971000002</v>
      </c>
      <c r="L28" s="38"/>
      <c r="M28" s="39"/>
      <c r="N28" s="36"/>
      <c r="O28" s="38"/>
      <c r="P28" s="38"/>
    </row>
    <row r="29" spans="1:16">
      <c r="A29" s="29">
        <v>16</v>
      </c>
      <c r="B29" s="35" t="s">
        <v>25</v>
      </c>
      <c r="C29" s="29">
        <v>320.97961613721588</v>
      </c>
      <c r="D29" s="29">
        <v>20.739101058100001</v>
      </c>
      <c r="E29" s="29">
        <v>2.9812436747</v>
      </c>
      <c r="F29" s="29">
        <v>100.3725</v>
      </c>
      <c r="G29" s="28">
        <v>510</v>
      </c>
      <c r="H29" s="29">
        <f t="shared" si="1"/>
        <v>4.444569004943661</v>
      </c>
      <c r="I29" s="29">
        <f t="shared" si="0"/>
        <v>6.8167004108955958</v>
      </c>
      <c r="J29" s="42">
        <v>4.4445685273599995</v>
      </c>
      <c r="K29" s="43">
        <v>6.8177589794799998</v>
      </c>
      <c r="L29" s="38"/>
      <c r="M29" s="39"/>
      <c r="N29" s="36"/>
      <c r="O29" s="38"/>
      <c r="P29" s="38"/>
    </row>
    <row r="30" spans="1:16">
      <c r="A30" s="29">
        <v>17</v>
      </c>
      <c r="B30" s="35" t="s">
        <v>24</v>
      </c>
      <c r="C30" s="29">
        <v>385.17553936465907</v>
      </c>
      <c r="D30" s="29">
        <v>42.981457427899997</v>
      </c>
      <c r="E30" s="29">
        <v>3.0586120528</v>
      </c>
      <c r="F30" s="29">
        <v>201.44800000000001</v>
      </c>
      <c r="G30" s="28">
        <v>660</v>
      </c>
      <c r="H30" s="29">
        <f t="shared" si="1"/>
        <v>7.8413527651725241</v>
      </c>
      <c r="I30" s="29">
        <f t="shared" si="0"/>
        <v>12.02639728551282</v>
      </c>
      <c r="J30" s="42">
        <v>7.8413530743099997</v>
      </c>
      <c r="K30" s="43">
        <v>12.028266637</v>
      </c>
      <c r="L30" s="38"/>
      <c r="M30" s="39"/>
      <c r="N30" s="36"/>
      <c r="O30" s="38"/>
      <c r="P30" s="38"/>
    </row>
    <row r="31" spans="1:16">
      <c r="A31" s="29">
        <v>18</v>
      </c>
      <c r="B31" s="35" t="s">
        <v>25</v>
      </c>
      <c r="C31" s="29">
        <v>462.21064723759088</v>
      </c>
      <c r="D31" s="29">
        <v>42.997157458399997</v>
      </c>
      <c r="E31" s="29">
        <v>2.549070661</v>
      </c>
      <c r="F31" s="29">
        <v>513.94690000000003</v>
      </c>
      <c r="G31" s="28">
        <v>510</v>
      </c>
      <c r="H31" s="29">
        <f t="shared" si="1"/>
        <v>22.757951250859342</v>
      </c>
      <c r="I31" s="29">
        <f t="shared" si="0"/>
        <v>34.904202290552874</v>
      </c>
      <c r="J31" s="42">
        <v>22.757949042</v>
      </c>
      <c r="K31" s="43">
        <v>34.909622943199999</v>
      </c>
      <c r="L31" s="38"/>
      <c r="M31" s="39"/>
      <c r="N31" s="36"/>
      <c r="O31" s="38"/>
      <c r="P31" s="38"/>
    </row>
    <row r="32" spans="1:16">
      <c r="A32" s="29">
        <v>19</v>
      </c>
      <c r="B32" s="35" t="s">
        <v>26</v>
      </c>
      <c r="C32" s="29">
        <v>554.65277668510907</v>
      </c>
      <c r="D32" s="29">
        <v>10</v>
      </c>
      <c r="E32" s="29">
        <v>1.5329553906</v>
      </c>
      <c r="F32" s="29">
        <v>1799.6407999999999</v>
      </c>
      <c r="G32" s="28">
        <v>120</v>
      </c>
      <c r="H32" s="29">
        <f t="shared" si="1"/>
        <v>164.28397692777384</v>
      </c>
      <c r="I32" s="29">
        <f t="shared" si="0"/>
        <v>251.9647353391274</v>
      </c>
      <c r="J32" s="42">
        <v>164.5094</v>
      </c>
      <c r="K32" s="43">
        <v>252.34969999999998</v>
      </c>
      <c r="L32" s="38"/>
      <c r="M32" s="39"/>
      <c r="O32" s="38"/>
      <c r="P32" s="38"/>
    </row>
    <row r="33" spans="1:16">
      <c r="A33" s="29">
        <v>20</v>
      </c>
      <c r="B33" s="35" t="s">
        <v>77</v>
      </c>
      <c r="C33" s="29">
        <v>665.58333202213089</v>
      </c>
      <c r="D33" s="29">
        <v>10</v>
      </c>
      <c r="E33" s="29">
        <v>1.2774244401999999</v>
      </c>
      <c r="F33" s="29">
        <v>7985.1876000000002</v>
      </c>
      <c r="G33" s="28">
        <v>110</v>
      </c>
      <c r="H33" s="29">
        <f t="shared" si="1"/>
        <v>761.35776447077978</v>
      </c>
      <c r="I33" s="29">
        <f t="shared" si="0"/>
        <v>1167.7055255827454</v>
      </c>
      <c r="J33" s="42">
        <v>762.22059999999999</v>
      </c>
      <c r="K33" s="43">
        <v>1169.2104999999999</v>
      </c>
      <c r="L33" s="38"/>
      <c r="M33" s="39"/>
      <c r="O33" s="38"/>
      <c r="P33" s="38"/>
    </row>
    <row r="34" spans="1:16">
      <c r="A34" s="28">
        <v>21</v>
      </c>
      <c r="B34" s="35" t="s">
        <v>78</v>
      </c>
      <c r="C34" s="29">
        <v>798.69999842655704</v>
      </c>
      <c r="D34" s="13">
        <v>10</v>
      </c>
      <c r="E34" s="29">
        <v>1.0645470231</v>
      </c>
      <c r="F34" s="29">
        <v>50173.560899999997</v>
      </c>
      <c r="G34" s="28">
        <v>100</v>
      </c>
      <c r="H34" s="29">
        <f t="shared" si="1"/>
        <v>5017.3560899999993</v>
      </c>
      <c r="I34" s="29">
        <f t="shared" si="0"/>
        <v>7695.1923307457018</v>
      </c>
      <c r="J34" s="42">
        <v>5021.9720000000007</v>
      </c>
      <c r="K34" s="43">
        <v>7703.4686999999994</v>
      </c>
      <c r="L34" s="38"/>
      <c r="M34" s="39"/>
      <c r="O34" s="38"/>
      <c r="P34" s="38"/>
    </row>
    <row r="35" spans="1:16">
      <c r="J35" s="37"/>
    </row>
    <row r="36" spans="1:16">
      <c r="A36" s="40" t="s">
        <v>18</v>
      </c>
      <c r="B36" s="40" t="s">
        <v>19</v>
      </c>
      <c r="C36" s="40" t="s">
        <v>6</v>
      </c>
      <c r="E36" s="36"/>
      <c r="F36" t="s">
        <v>123</v>
      </c>
      <c r="G36" s="17">
        <f>SUM(G14:G34)</f>
        <v>7350</v>
      </c>
      <c r="H36" s="36"/>
      <c r="I36" s="36"/>
      <c r="J36" s="37"/>
    </row>
    <row r="37" spans="1:16">
      <c r="A37" s="9" t="s">
        <v>20</v>
      </c>
      <c r="B37" s="3">
        <v>1</v>
      </c>
      <c r="C37" s="22">
        <v>20.833333333333336</v>
      </c>
      <c r="E37" s="36"/>
      <c r="F37" s="36"/>
      <c r="H37" s="36"/>
      <c r="I37" s="36"/>
      <c r="J37" s="37"/>
    </row>
    <row r="38" spans="1:16">
      <c r="A38" s="11"/>
      <c r="B38" s="4">
        <v>3</v>
      </c>
      <c r="C38" s="4">
        <v>30</v>
      </c>
      <c r="E38" s="36"/>
      <c r="F38" s="36"/>
      <c r="I38" s="36"/>
      <c r="J38" s="37"/>
    </row>
    <row r="39" spans="1:16">
      <c r="A39" s="10"/>
      <c r="B39" s="5">
        <v>5</v>
      </c>
      <c r="C39" s="6">
        <v>43.2</v>
      </c>
      <c r="E39" s="36"/>
      <c r="F39" s="36"/>
      <c r="H39" s="36"/>
      <c r="I39" s="36"/>
      <c r="J39" s="37"/>
    </row>
    <row r="40" spans="1:16">
      <c r="A40" s="9" t="s">
        <v>21</v>
      </c>
      <c r="B40" s="3">
        <v>2</v>
      </c>
      <c r="C40" s="3">
        <v>25</v>
      </c>
      <c r="E40" s="36"/>
      <c r="F40" s="36"/>
      <c r="H40" s="36"/>
      <c r="I40" s="36"/>
      <c r="J40" s="37"/>
    </row>
    <row r="41" spans="1:16">
      <c r="A41" s="11"/>
      <c r="B41" s="4">
        <v>4</v>
      </c>
      <c r="C41" s="7">
        <v>36</v>
      </c>
      <c r="E41" s="36"/>
      <c r="F41" s="36"/>
      <c r="I41" s="36"/>
      <c r="J41" s="37"/>
    </row>
    <row r="42" spans="1:16">
      <c r="A42" s="10"/>
      <c r="B42" s="5">
        <v>6</v>
      </c>
      <c r="C42" s="6">
        <v>51.8</v>
      </c>
      <c r="E42" s="36"/>
      <c r="F42" s="36"/>
      <c r="H42" s="36"/>
      <c r="I42" s="36"/>
      <c r="J42" s="37"/>
    </row>
    <row r="43" spans="1:16">
      <c r="A43" s="9" t="s">
        <v>22</v>
      </c>
      <c r="B43" s="3">
        <v>7</v>
      </c>
      <c r="C43" s="8">
        <v>62.2</v>
      </c>
      <c r="E43" s="36"/>
      <c r="F43" s="36"/>
      <c r="H43" s="36"/>
      <c r="I43" s="36"/>
      <c r="J43" s="37"/>
    </row>
    <row r="44" spans="1:16">
      <c r="A44" s="11"/>
      <c r="B44" s="4">
        <v>9</v>
      </c>
      <c r="C44" s="7">
        <v>89.6</v>
      </c>
      <c r="E44" s="36"/>
      <c r="F44" s="36"/>
      <c r="H44" s="36"/>
      <c r="I44" s="36"/>
      <c r="J44" s="37"/>
    </row>
    <row r="45" spans="1:16">
      <c r="A45" s="10"/>
      <c r="B45" s="5">
        <v>11</v>
      </c>
      <c r="C45" s="6">
        <v>129</v>
      </c>
      <c r="E45" s="36"/>
      <c r="F45" s="36"/>
      <c r="H45" s="36"/>
      <c r="I45" s="36"/>
      <c r="J45" s="37"/>
    </row>
    <row r="46" spans="1:16">
      <c r="A46" s="9" t="s">
        <v>23</v>
      </c>
      <c r="B46" s="3">
        <v>8</v>
      </c>
      <c r="C46" s="8">
        <v>74.599999999999994</v>
      </c>
      <c r="E46" s="36"/>
      <c r="F46" s="36"/>
      <c r="H46" s="36"/>
      <c r="I46" s="36"/>
      <c r="J46" s="37"/>
    </row>
    <row r="47" spans="1:16">
      <c r="A47" s="11"/>
      <c r="B47" s="4">
        <v>10</v>
      </c>
      <c r="C47" s="7">
        <v>107.5</v>
      </c>
      <c r="E47" s="36"/>
      <c r="F47" s="36"/>
      <c r="H47" s="36"/>
      <c r="I47" s="36"/>
      <c r="J47" s="37"/>
    </row>
    <row r="48" spans="1:16">
      <c r="A48" s="10"/>
      <c r="B48" s="5">
        <v>12</v>
      </c>
      <c r="C48" s="6">
        <v>154.80000000000001</v>
      </c>
      <c r="E48" s="36"/>
      <c r="F48" s="36"/>
      <c r="H48" s="36"/>
      <c r="I48" s="36"/>
      <c r="J48" s="37"/>
    </row>
    <row r="49" spans="1:10">
      <c r="A49" s="9" t="s">
        <v>24</v>
      </c>
      <c r="B49" s="3">
        <v>13</v>
      </c>
      <c r="C49" s="8">
        <v>185.8</v>
      </c>
      <c r="E49" s="36"/>
      <c r="F49" s="36"/>
      <c r="H49" s="36"/>
      <c r="I49" s="36"/>
      <c r="J49" s="37"/>
    </row>
    <row r="50" spans="1:10">
      <c r="A50" s="11"/>
      <c r="B50" s="4">
        <v>15</v>
      </c>
      <c r="C50" s="7">
        <v>267.5</v>
      </c>
      <c r="E50" s="36"/>
      <c r="F50" s="36"/>
      <c r="H50" s="36"/>
      <c r="I50" s="36"/>
      <c r="J50" s="37"/>
    </row>
    <row r="51" spans="1:10">
      <c r="A51" s="10"/>
      <c r="B51" s="5">
        <v>17</v>
      </c>
      <c r="C51" s="6">
        <v>385.2</v>
      </c>
      <c r="E51" s="36"/>
      <c r="F51" s="36"/>
      <c r="H51" s="36"/>
      <c r="I51" s="36"/>
      <c r="J51" s="37"/>
    </row>
    <row r="52" spans="1:10">
      <c r="A52" s="9" t="s">
        <v>25</v>
      </c>
      <c r="B52" s="3">
        <v>14</v>
      </c>
      <c r="C52" s="8">
        <v>222.9</v>
      </c>
      <c r="E52" s="36"/>
      <c r="F52" s="36"/>
      <c r="H52" s="36"/>
      <c r="I52" s="36"/>
      <c r="J52" s="37"/>
    </row>
    <row r="53" spans="1:10">
      <c r="A53" s="11"/>
      <c r="B53" s="4">
        <v>16</v>
      </c>
      <c r="C53" s="7">
        <v>321</v>
      </c>
      <c r="E53" s="36"/>
      <c r="H53" s="36"/>
      <c r="I53" s="36"/>
      <c r="J53" s="37"/>
    </row>
    <row r="54" spans="1:10">
      <c r="A54" s="5"/>
      <c r="B54" s="23">
        <v>18</v>
      </c>
      <c r="C54" s="24">
        <v>462.2</v>
      </c>
      <c r="E54" s="36"/>
      <c r="J54" s="37"/>
    </row>
    <row r="55" spans="1:10">
      <c r="A55" s="25" t="s">
        <v>26</v>
      </c>
      <c r="B55" s="26">
        <v>19</v>
      </c>
      <c r="C55" s="27">
        <v>554.70000000000005</v>
      </c>
      <c r="E55" s="36"/>
      <c r="J55" s="37"/>
    </row>
    <row r="56" spans="1:10">
      <c r="A56" s="25" t="s">
        <v>77</v>
      </c>
      <c r="B56" s="26">
        <v>20</v>
      </c>
      <c r="C56" s="27">
        <v>665.6</v>
      </c>
      <c r="E56" s="36"/>
      <c r="J56" s="37"/>
    </row>
    <row r="57" spans="1:10">
      <c r="A57" s="25" t="s">
        <v>78</v>
      </c>
      <c r="B57" s="26">
        <v>21</v>
      </c>
      <c r="C57" s="27">
        <v>798.7</v>
      </c>
    </row>
  </sheetData>
  <mergeCells count="1">
    <mergeCell ref="C5:D5"/>
  </mergeCells>
  <pageMargins left="0.75" right="0.75" top="1" bottom="1" header="0.5" footer="0.5"/>
  <pageSetup orientation="portrait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P57"/>
  <sheetViews>
    <sheetView workbookViewId="0">
      <selection activeCell="A4" sqref="A4"/>
    </sheetView>
  </sheetViews>
  <sheetFormatPr defaultColWidth="11.44140625" defaultRowHeight="15"/>
  <cols>
    <col min="6" max="6" width="12" customWidth="1"/>
    <col min="7" max="7" width="11.44140625" customWidth="1"/>
  </cols>
  <sheetData>
    <row r="3" spans="1:16">
      <c r="A3" s="33" t="s">
        <v>117</v>
      </c>
    </row>
    <row r="4" spans="1:16">
      <c r="A4" s="30" t="s">
        <v>115</v>
      </c>
      <c r="B4" s="4"/>
      <c r="C4" s="4"/>
      <c r="D4" s="4"/>
      <c r="E4" s="4"/>
      <c r="F4" s="4"/>
      <c r="G4" s="4"/>
    </row>
    <row r="5" spans="1:16">
      <c r="A5" s="32">
        <v>43040</v>
      </c>
      <c r="B5" s="31"/>
      <c r="C5" s="74" t="s">
        <v>89</v>
      </c>
      <c r="D5" s="74"/>
      <c r="E5" s="31">
        <v>4</v>
      </c>
      <c r="F5" s="31" t="s">
        <v>90</v>
      </c>
      <c r="G5" s="31"/>
    </row>
    <row r="6" spans="1:16">
      <c r="B6" s="31"/>
      <c r="C6" s="31"/>
      <c r="D6" s="31"/>
      <c r="E6" s="31"/>
      <c r="F6" s="31"/>
      <c r="G6" s="31"/>
    </row>
    <row r="7" spans="1:16">
      <c r="B7" s="41" t="s">
        <v>93</v>
      </c>
      <c r="C7" s="36" t="s">
        <v>94</v>
      </c>
      <c r="D7" s="31" t="s">
        <v>118</v>
      </c>
      <c r="E7" s="31"/>
      <c r="F7" s="31"/>
      <c r="G7" s="31"/>
    </row>
    <row r="8" spans="1:16">
      <c r="B8" s="36"/>
      <c r="C8" s="36" t="s">
        <v>95</v>
      </c>
      <c r="D8" s="31" t="s">
        <v>120</v>
      </c>
      <c r="E8" s="31"/>
      <c r="F8" s="31"/>
      <c r="G8" s="31"/>
    </row>
    <row r="9" spans="1:16">
      <c r="B9" s="36"/>
      <c r="C9" s="36" t="s">
        <v>96</v>
      </c>
      <c r="D9" s="31"/>
      <c r="E9" s="31"/>
      <c r="F9" s="31"/>
      <c r="G9" s="31"/>
    </row>
    <row r="10" spans="1:16">
      <c r="B10" s="31"/>
      <c r="C10" s="31"/>
      <c r="D10" s="31"/>
      <c r="E10" s="31"/>
      <c r="F10" s="31"/>
      <c r="G10" s="31"/>
    </row>
    <row r="11" spans="1:16">
      <c r="A11" s="31"/>
      <c r="B11" s="31"/>
      <c r="C11" s="31"/>
      <c r="D11" s="31"/>
      <c r="E11" s="31"/>
      <c r="F11" s="31"/>
      <c r="G11" s="31"/>
      <c r="J11" t="s">
        <v>119</v>
      </c>
    </row>
    <row r="12" spans="1:16">
      <c r="A12" s="34"/>
      <c r="B12" s="34"/>
      <c r="C12" s="34" t="s">
        <v>6</v>
      </c>
      <c r="D12" s="34" t="s">
        <v>85</v>
      </c>
      <c r="E12" s="34" t="s">
        <v>61</v>
      </c>
      <c r="F12" s="34" t="s">
        <v>86</v>
      </c>
      <c r="G12" s="34"/>
      <c r="H12" s="34" t="s">
        <v>87</v>
      </c>
      <c r="I12" s="34" t="s">
        <v>88</v>
      </c>
      <c r="J12" s="34" t="s">
        <v>87</v>
      </c>
      <c r="K12" s="34" t="s">
        <v>88</v>
      </c>
    </row>
    <row r="13" spans="1:16">
      <c r="A13" s="34" t="s">
        <v>10</v>
      </c>
      <c r="B13" s="34" t="s">
        <v>80</v>
      </c>
      <c r="C13" s="34" t="s">
        <v>75</v>
      </c>
      <c r="D13" s="34" t="s">
        <v>82</v>
      </c>
      <c r="E13" s="34" t="s">
        <v>72</v>
      </c>
      <c r="F13" s="34" t="s">
        <v>83</v>
      </c>
      <c r="G13" s="34" t="s">
        <v>81</v>
      </c>
      <c r="H13" s="34" t="s">
        <v>83</v>
      </c>
      <c r="I13" s="34" t="s">
        <v>84</v>
      </c>
      <c r="J13" s="34" t="s">
        <v>83</v>
      </c>
      <c r="K13" s="34" t="s">
        <v>84</v>
      </c>
    </row>
    <row r="14" spans="1:16">
      <c r="A14" s="29">
        <v>1</v>
      </c>
      <c r="B14" s="35" t="s">
        <v>20</v>
      </c>
      <c r="C14" s="29">
        <v>20.833333333333336</v>
      </c>
      <c r="D14" s="29">
        <v>4.8071111111000002</v>
      </c>
      <c r="E14" s="29">
        <v>38.3964721161</v>
      </c>
      <c r="F14" s="29">
        <v>96.522331065300008</v>
      </c>
      <c r="G14" s="28">
        <v>130</v>
      </c>
      <c r="H14" s="29">
        <f>F14/SQRT(G14)</f>
        <v>8.4655684503029374</v>
      </c>
      <c r="I14" s="29">
        <f t="shared" ref="I14:I34" si="0">H14*2.169*SQRT(2)/SQRT($E$5)</f>
        <v>12.983766000585769</v>
      </c>
      <c r="J14" s="42">
        <v>10.8423814569</v>
      </c>
      <c r="K14" s="43">
        <v>16.631702961000002</v>
      </c>
      <c r="L14" s="36"/>
      <c r="M14" s="39"/>
      <c r="N14" s="36"/>
      <c r="O14" s="36"/>
      <c r="P14" s="38"/>
    </row>
    <row r="15" spans="1:16">
      <c r="A15" s="29">
        <v>2</v>
      </c>
      <c r="B15" s="35" t="s">
        <v>21</v>
      </c>
      <c r="C15" s="29">
        <v>25</v>
      </c>
      <c r="D15" s="29">
        <v>4.8225308642</v>
      </c>
      <c r="E15" s="29">
        <v>31.9519944796</v>
      </c>
      <c r="F15" s="29">
        <v>88.539827769399992</v>
      </c>
      <c r="G15" s="28">
        <v>260</v>
      </c>
      <c r="H15" s="29">
        <f t="shared" ref="H15:H34" si="1">F15/SQRT(G15)</f>
        <v>5.4910070189758784</v>
      </c>
      <c r="I15" s="29">
        <f t="shared" si="0"/>
        <v>8.4216376797952179</v>
      </c>
      <c r="J15" s="42">
        <v>6.9499077627999997</v>
      </c>
      <c r="K15" s="43">
        <v>10.6608314766</v>
      </c>
      <c r="L15" s="36"/>
      <c r="M15" s="39"/>
      <c r="N15" s="36"/>
      <c r="O15" s="36"/>
      <c r="P15" s="38"/>
    </row>
    <row r="16" spans="1:16">
      <c r="A16" s="29">
        <v>3</v>
      </c>
      <c r="B16" s="35" t="s">
        <v>20</v>
      </c>
      <c r="C16" s="29">
        <v>30</v>
      </c>
      <c r="D16" s="29">
        <v>10</v>
      </c>
      <c r="E16" s="29">
        <v>28.294632525000001</v>
      </c>
      <c r="F16" s="29">
        <v>56.730090563399997</v>
      </c>
      <c r="G16" s="28">
        <v>130</v>
      </c>
      <c r="H16" s="29">
        <f t="shared" si="1"/>
        <v>4.9755580864643996</v>
      </c>
      <c r="I16" s="29">
        <f t="shared" si="0"/>
        <v>7.6310861221214639</v>
      </c>
      <c r="J16" s="42">
        <v>5.2278203454300005</v>
      </c>
      <c r="K16" s="43">
        <v>8.0192304120699998</v>
      </c>
      <c r="L16" s="36"/>
      <c r="M16" s="39"/>
      <c r="N16" s="36"/>
      <c r="O16" s="36"/>
      <c r="P16" s="38"/>
    </row>
    <row r="17" spans="1:16">
      <c r="A17" s="29">
        <v>4</v>
      </c>
      <c r="B17" s="35" t="s">
        <v>21</v>
      </c>
      <c r="C17" s="29">
        <v>36</v>
      </c>
      <c r="D17" s="29">
        <v>10</v>
      </c>
      <c r="E17" s="29">
        <v>23.618158538199999</v>
      </c>
      <c r="F17" s="29">
        <v>52.108149882799999</v>
      </c>
      <c r="G17" s="28">
        <v>260</v>
      </c>
      <c r="H17" s="29">
        <f t="shared" si="1"/>
        <v>3.231610270323896</v>
      </c>
      <c r="I17" s="29">
        <f t="shared" si="0"/>
        <v>4.9563678802306201</v>
      </c>
      <c r="J17" s="42">
        <v>3.3807078855300001</v>
      </c>
      <c r="K17" s="43">
        <v>5.1858468154199997</v>
      </c>
      <c r="L17" s="36"/>
      <c r="M17" s="39"/>
      <c r="N17" s="36"/>
      <c r="O17" s="36"/>
      <c r="P17" s="38"/>
    </row>
    <row r="18" spans="1:16">
      <c r="A18" s="29">
        <v>5</v>
      </c>
      <c r="B18" s="35" t="s">
        <v>20</v>
      </c>
      <c r="C18" s="29">
        <v>43.199999999999996</v>
      </c>
      <c r="D18" s="29">
        <v>20.736000000000001</v>
      </c>
      <c r="E18" s="29">
        <v>22.1515833604</v>
      </c>
      <c r="F18" s="29">
        <v>42.3686070308</v>
      </c>
      <c r="G18" s="28">
        <v>130</v>
      </c>
      <c r="H18" s="29">
        <f t="shared" si="1"/>
        <v>3.7159726563231321</v>
      </c>
      <c r="I18" s="29">
        <f t="shared" si="0"/>
        <v>5.6992415473940392</v>
      </c>
      <c r="J18" s="42">
        <v>3.7160000000000002</v>
      </c>
      <c r="K18" s="43">
        <v>5.7001271977599997</v>
      </c>
      <c r="L18" s="38"/>
      <c r="M18" s="39"/>
      <c r="N18" s="36"/>
      <c r="O18" s="36"/>
      <c r="P18" s="38"/>
    </row>
    <row r="19" spans="1:16">
      <c r="A19" s="29">
        <v>6</v>
      </c>
      <c r="B19" s="35" t="s">
        <v>21</v>
      </c>
      <c r="C19" s="29">
        <v>51.839999999999996</v>
      </c>
      <c r="D19" s="29">
        <v>20.704012345700001</v>
      </c>
      <c r="E19" s="29">
        <v>18.4499615601</v>
      </c>
      <c r="F19" s="29">
        <v>39.244163880000002</v>
      </c>
      <c r="G19" s="28">
        <v>260</v>
      </c>
      <c r="H19" s="29">
        <f t="shared" si="1"/>
        <v>2.4338197255156007</v>
      </c>
      <c r="I19" s="29">
        <f t="shared" si="0"/>
        <v>3.7327848672198316</v>
      </c>
      <c r="J19" s="42">
        <v>2.4338197255099998</v>
      </c>
      <c r="K19" s="43">
        <v>3.7333649342699999</v>
      </c>
      <c r="L19" s="36"/>
      <c r="M19" s="39"/>
      <c r="N19" s="36"/>
      <c r="O19" s="36"/>
      <c r="P19" s="38"/>
    </row>
    <row r="20" spans="1:16">
      <c r="A20" s="29">
        <v>7</v>
      </c>
      <c r="B20" s="35" t="s">
        <v>22</v>
      </c>
      <c r="C20" s="29">
        <v>62.207999999999991</v>
      </c>
      <c r="D20" s="29">
        <v>4.8190868144000003</v>
      </c>
      <c r="E20" s="29">
        <v>12.8418912366</v>
      </c>
      <c r="F20" s="29">
        <v>59.007711007599994</v>
      </c>
      <c r="G20" s="28">
        <v>920</v>
      </c>
      <c r="H20" s="29">
        <f t="shared" si="1"/>
        <v>1.9454266209096538</v>
      </c>
      <c r="I20" s="29">
        <f t="shared" si="0"/>
        <v>2.9837292280469767</v>
      </c>
      <c r="J20" s="42">
        <v>2.2758905869400001</v>
      </c>
      <c r="K20" s="43">
        <v>3.49110906714</v>
      </c>
      <c r="L20" s="36"/>
      <c r="M20" s="39"/>
      <c r="N20" s="36"/>
      <c r="O20" s="36"/>
      <c r="P20" s="38"/>
    </row>
    <row r="21" spans="1:16">
      <c r="A21" s="29">
        <v>8</v>
      </c>
      <c r="B21" s="35" t="s">
        <v>23</v>
      </c>
      <c r="C21" s="29">
        <v>74.649599999999992</v>
      </c>
      <c r="D21" s="29">
        <v>4.8157144401999998</v>
      </c>
      <c r="E21" s="29">
        <v>10.699693505200001</v>
      </c>
      <c r="F21" s="29">
        <v>55.4983642308</v>
      </c>
      <c r="G21" s="28">
        <v>1100</v>
      </c>
      <c r="H21" s="29">
        <f t="shared" si="1"/>
        <v>1.6733386421094969</v>
      </c>
      <c r="I21" s="29">
        <f t="shared" si="0"/>
        <v>2.5664239201928818</v>
      </c>
      <c r="J21" s="42">
        <v>1.9188003123700001</v>
      </c>
      <c r="K21" s="43">
        <v>2.9433493890199998</v>
      </c>
      <c r="L21" s="36"/>
      <c r="M21" s="39"/>
      <c r="N21" s="36"/>
      <c r="O21" s="36"/>
      <c r="P21" s="38"/>
    </row>
    <row r="22" spans="1:16">
      <c r="A22" s="29">
        <v>9</v>
      </c>
      <c r="B22" s="35" t="s">
        <v>22</v>
      </c>
      <c r="C22" s="29">
        <v>89.579519999999988</v>
      </c>
      <c r="D22" s="29">
        <v>10</v>
      </c>
      <c r="E22" s="29">
        <v>9.4894386984000008</v>
      </c>
      <c r="F22" s="29">
        <v>36.775545700199999</v>
      </c>
      <c r="G22" s="28">
        <v>920</v>
      </c>
      <c r="H22" s="29">
        <f t="shared" si="1"/>
        <v>1.2124538366593136</v>
      </c>
      <c r="I22" s="29">
        <f t="shared" si="0"/>
        <v>1.8595581612872834</v>
      </c>
      <c r="J22" s="42">
        <v>1.23967781154</v>
      </c>
      <c r="K22" s="43">
        <v>1.90160742921</v>
      </c>
      <c r="L22" s="36"/>
      <c r="M22" s="39"/>
      <c r="N22" s="36"/>
      <c r="O22" s="36"/>
      <c r="P22" s="38"/>
    </row>
    <row r="23" spans="1:16">
      <c r="A23" s="29">
        <v>10</v>
      </c>
      <c r="B23" s="35" t="s">
        <v>23</v>
      </c>
      <c r="C23" s="29">
        <v>107.49542399999999</v>
      </c>
      <c r="D23" s="29">
        <v>10</v>
      </c>
      <c r="E23" s="29">
        <v>7.9093368128000003</v>
      </c>
      <c r="F23" s="29">
        <v>35.673535528100004</v>
      </c>
      <c r="G23" s="28">
        <v>1100</v>
      </c>
      <c r="H23" s="29">
        <f t="shared" si="1"/>
        <v>1.0755975662920052</v>
      </c>
      <c r="I23" s="29">
        <f t="shared" si="0"/>
        <v>1.6496597001746753</v>
      </c>
      <c r="J23" s="42">
        <v>1.0947862778399999</v>
      </c>
      <c r="K23" s="43">
        <v>1.67935063447</v>
      </c>
      <c r="L23" s="36"/>
      <c r="M23" s="39"/>
      <c r="N23" s="36"/>
      <c r="O23" s="36"/>
      <c r="P23" s="38"/>
    </row>
    <row r="24" spans="1:16">
      <c r="A24" s="29">
        <v>11</v>
      </c>
      <c r="B24" s="35" t="s">
        <v>22</v>
      </c>
      <c r="C24" s="29">
        <v>128.99450879999998</v>
      </c>
      <c r="D24" s="29">
        <v>20.728286431800001</v>
      </c>
      <c r="E24" s="29">
        <v>7.4176104147000004</v>
      </c>
      <c r="F24" s="29">
        <v>31.225353149499998</v>
      </c>
      <c r="G24" s="28">
        <v>920</v>
      </c>
      <c r="H24" s="29">
        <f t="shared" si="1"/>
        <v>1.029469407083397</v>
      </c>
      <c r="I24" s="29">
        <f t="shared" si="0"/>
        <v>1.5789122685381263</v>
      </c>
      <c r="J24" s="42">
        <v>1.0294694070800001</v>
      </c>
      <c r="K24" s="43">
        <v>1.5791576282400002</v>
      </c>
      <c r="L24" s="36"/>
      <c r="M24" s="39"/>
      <c r="N24" s="36"/>
      <c r="O24" s="36"/>
      <c r="P24" s="38"/>
    </row>
    <row r="25" spans="1:16">
      <c r="A25" s="29">
        <v>12</v>
      </c>
      <c r="B25" s="35" t="s">
        <v>23</v>
      </c>
      <c r="C25" s="29">
        <v>154.79341055999996</v>
      </c>
      <c r="D25" s="29">
        <v>20.736000000000001</v>
      </c>
      <c r="E25" s="29">
        <v>6.1838345795</v>
      </c>
      <c r="F25" s="29">
        <v>32.440281472100004</v>
      </c>
      <c r="G25" s="28">
        <v>1100</v>
      </c>
      <c r="H25" s="29">
        <f t="shared" si="1"/>
        <v>0.97811128851339846</v>
      </c>
      <c r="I25" s="29">
        <f t="shared" si="0"/>
        <v>1.5001435718277079</v>
      </c>
      <c r="J25" s="42">
        <v>0.97811128851300011</v>
      </c>
      <c r="K25" s="43">
        <v>1.50037669104</v>
      </c>
      <c r="L25" s="36"/>
      <c r="M25" s="39"/>
      <c r="N25" s="36"/>
      <c r="O25" s="36"/>
      <c r="P25" s="38"/>
    </row>
    <row r="26" spans="1:16">
      <c r="A26" s="29">
        <v>13</v>
      </c>
      <c r="B26" s="35" t="s">
        <v>24</v>
      </c>
      <c r="C26" s="29">
        <v>185.75209267199995</v>
      </c>
      <c r="D26" s="29">
        <v>4.8244059743000003</v>
      </c>
      <c r="E26" s="29">
        <v>4.3005033480000003</v>
      </c>
      <c r="F26" s="29">
        <v>58.239229733200006</v>
      </c>
      <c r="G26" s="28">
        <v>1340</v>
      </c>
      <c r="H26" s="29">
        <f t="shared" si="1"/>
        <v>1.59097451594468</v>
      </c>
      <c r="I26" s="29">
        <f t="shared" si="0"/>
        <v>2.4401008566863265</v>
      </c>
      <c r="J26" s="42">
        <v>1.6565326299399998</v>
      </c>
      <c r="K26" s="43">
        <v>2.5409999999999999</v>
      </c>
      <c r="L26" s="36"/>
      <c r="M26" s="39"/>
      <c r="N26" s="36"/>
      <c r="O26" s="36"/>
      <c r="P26" s="38"/>
    </row>
    <row r="27" spans="1:16">
      <c r="A27" s="29">
        <v>14</v>
      </c>
      <c r="B27" s="35" t="s">
        <v>25</v>
      </c>
      <c r="C27" s="29">
        <v>222.90251120639994</v>
      </c>
      <c r="D27" s="29">
        <v>4.8218097650000002</v>
      </c>
      <c r="E27" s="29">
        <v>3.5836370376</v>
      </c>
      <c r="F27" s="29">
        <v>69.365727269600001</v>
      </c>
      <c r="G27" s="28">
        <v>1040</v>
      </c>
      <c r="H27" s="29">
        <f t="shared" si="1"/>
        <v>2.1509398928680641</v>
      </c>
      <c r="I27" s="29">
        <f t="shared" si="0"/>
        <v>3.2989279354683614</v>
      </c>
      <c r="J27" s="42">
        <v>2.2124327257899998</v>
      </c>
      <c r="K27" s="43">
        <v>3.3937676941800001</v>
      </c>
      <c r="L27" s="36"/>
      <c r="M27" s="39"/>
      <c r="N27" s="36"/>
      <c r="O27" s="36"/>
      <c r="P27" s="38"/>
    </row>
    <row r="28" spans="1:16">
      <c r="A28" s="29">
        <v>15</v>
      </c>
      <c r="B28" s="35" t="s">
        <v>24</v>
      </c>
      <c r="C28" s="29">
        <v>267.48301344767992</v>
      </c>
      <c r="D28" s="29">
        <v>10</v>
      </c>
      <c r="E28" s="29">
        <v>3.1791127589000001</v>
      </c>
      <c r="F28" s="29">
        <v>67.629688978400011</v>
      </c>
      <c r="G28" s="28">
        <v>1340</v>
      </c>
      <c r="H28" s="29">
        <f t="shared" si="1"/>
        <v>1.8475023137979816</v>
      </c>
      <c r="I28" s="29">
        <f t="shared" si="0"/>
        <v>2.8335412877129809</v>
      </c>
      <c r="J28" s="42">
        <v>1.85419777717</v>
      </c>
      <c r="K28" s="43">
        <v>2.84425213993</v>
      </c>
      <c r="L28" s="36"/>
      <c r="M28" s="39"/>
      <c r="N28" s="36"/>
      <c r="O28" s="36"/>
      <c r="P28" s="38"/>
    </row>
    <row r="29" spans="1:16">
      <c r="A29" s="29">
        <v>16</v>
      </c>
      <c r="B29" s="35" t="s">
        <v>25</v>
      </c>
      <c r="C29" s="29">
        <v>320.97961613721588</v>
      </c>
      <c r="D29" s="29">
        <v>10</v>
      </c>
      <c r="E29" s="29">
        <v>2.6487654434999999</v>
      </c>
      <c r="F29" s="29">
        <v>109.6857</v>
      </c>
      <c r="G29" s="28">
        <v>1040</v>
      </c>
      <c r="H29" s="29">
        <f t="shared" si="1"/>
        <v>3.4012091719328854</v>
      </c>
      <c r="I29" s="29">
        <f t="shared" si="0"/>
        <v>5.2164841931958401</v>
      </c>
      <c r="J29" s="42">
        <v>3.4102772036699998</v>
      </c>
      <c r="K29" s="43">
        <v>5.2312047580499996</v>
      </c>
      <c r="L29" s="36"/>
      <c r="M29" s="39"/>
      <c r="N29" s="36"/>
      <c r="O29" s="36"/>
      <c r="P29" s="38"/>
    </row>
    <row r="30" spans="1:16">
      <c r="A30" s="29">
        <v>17</v>
      </c>
      <c r="B30" s="35" t="s">
        <v>24</v>
      </c>
      <c r="C30" s="29">
        <v>385.17553936465907</v>
      </c>
      <c r="D30" s="29">
        <v>20.736000000000001</v>
      </c>
      <c r="E30" s="29">
        <v>2.4846122319999999</v>
      </c>
      <c r="F30" s="29">
        <v>202.70499999999998</v>
      </c>
      <c r="G30" s="28">
        <v>1340</v>
      </c>
      <c r="H30" s="29">
        <f t="shared" si="1"/>
        <v>5.5374786159083076</v>
      </c>
      <c r="I30" s="29">
        <f t="shared" si="0"/>
        <v>8.492911846885864</v>
      </c>
      <c r="J30" s="42">
        <v>5.5374784135599997</v>
      </c>
      <c r="K30" s="43">
        <v>8.4942313174499997</v>
      </c>
      <c r="L30" s="36"/>
      <c r="M30" s="39"/>
      <c r="N30" s="36"/>
      <c r="O30" s="36"/>
      <c r="P30" s="38"/>
    </row>
    <row r="31" spans="1:16">
      <c r="A31" s="29">
        <v>18</v>
      </c>
      <c r="B31" s="35" t="s">
        <v>25</v>
      </c>
      <c r="C31" s="29">
        <v>462.21064723759088</v>
      </c>
      <c r="D31" s="29">
        <v>20.732411370200001</v>
      </c>
      <c r="E31" s="29">
        <v>2.0703434385000001</v>
      </c>
      <c r="F31" s="29">
        <v>516.59809999999993</v>
      </c>
      <c r="G31" s="28">
        <v>1040</v>
      </c>
      <c r="H31" s="29">
        <f t="shared" si="1"/>
        <v>16.01902705569734</v>
      </c>
      <c r="I31" s="29">
        <f t="shared" si="0"/>
        <v>24.568615807575675</v>
      </c>
      <c r="J31" s="42">
        <v>16.019000000000002</v>
      </c>
      <c r="K31" s="43">
        <v>24.572432719799998</v>
      </c>
      <c r="L31" s="38"/>
      <c r="M31" s="39"/>
      <c r="N31" s="36"/>
      <c r="O31" s="36"/>
      <c r="P31" s="38"/>
    </row>
    <row r="32" spans="1:16">
      <c r="A32" s="29">
        <v>19</v>
      </c>
      <c r="B32" s="35" t="s">
        <v>26</v>
      </c>
      <c r="C32" s="29">
        <v>554.65277668510907</v>
      </c>
      <c r="D32" s="29">
        <v>10</v>
      </c>
      <c r="E32" s="29">
        <v>1.5329553906</v>
      </c>
      <c r="F32" s="29">
        <v>1799.6407999999999</v>
      </c>
      <c r="G32" s="28">
        <v>240</v>
      </c>
      <c r="H32" s="29">
        <f t="shared" si="1"/>
        <v>116.16631412592321</v>
      </c>
      <c r="I32" s="29">
        <f t="shared" si="0"/>
        <v>178.16597297817074</v>
      </c>
      <c r="J32" s="42">
        <v>116.3257</v>
      </c>
      <c r="K32" s="43">
        <v>178.43819999999999</v>
      </c>
      <c r="L32" s="38"/>
      <c r="M32" s="39"/>
      <c r="N32" s="36"/>
      <c r="O32" s="36"/>
      <c r="P32" s="38"/>
    </row>
    <row r="33" spans="1:16">
      <c r="A33" s="29">
        <v>20</v>
      </c>
      <c r="B33" s="35" t="s">
        <v>77</v>
      </c>
      <c r="C33" s="29">
        <v>665.58333202213089</v>
      </c>
      <c r="D33" s="29">
        <v>10</v>
      </c>
      <c r="E33" s="29">
        <v>1.2774244401999999</v>
      </c>
      <c r="F33" s="29">
        <v>7985.1876000000002</v>
      </c>
      <c r="G33" s="28">
        <v>220</v>
      </c>
      <c r="H33" s="29">
        <f t="shared" si="1"/>
        <v>538.36123816631857</v>
      </c>
      <c r="I33" s="29">
        <f t="shared" si="0"/>
        <v>825.6924955685605</v>
      </c>
      <c r="J33" s="42">
        <v>538.97140000000002</v>
      </c>
      <c r="K33" s="43">
        <v>826.75670000000002</v>
      </c>
      <c r="L33" s="38"/>
      <c r="M33" s="39"/>
      <c r="N33" s="36"/>
      <c r="O33" s="36"/>
      <c r="P33" s="38"/>
    </row>
    <row r="34" spans="1:16">
      <c r="A34" s="28">
        <v>21</v>
      </c>
      <c r="B34" s="35" t="s">
        <v>78</v>
      </c>
      <c r="C34" s="29">
        <v>798.69999842655704</v>
      </c>
      <c r="D34" s="13">
        <v>10</v>
      </c>
      <c r="E34" s="29">
        <v>1.0645470231</v>
      </c>
      <c r="F34" s="29">
        <v>50173.560899999997</v>
      </c>
      <c r="G34" s="28">
        <v>200</v>
      </c>
      <c r="H34" s="29">
        <f t="shared" si="1"/>
        <v>3547.8065148666215</v>
      </c>
      <c r="I34" s="29">
        <f t="shared" si="0"/>
        <v>5441.3226796050003</v>
      </c>
      <c r="J34" s="42">
        <v>3551.0704000000001</v>
      </c>
      <c r="K34" s="43">
        <v>5447.1749</v>
      </c>
      <c r="L34" s="38"/>
      <c r="M34" s="39"/>
      <c r="N34" s="36"/>
      <c r="O34" s="36"/>
      <c r="P34" s="38"/>
    </row>
    <row r="35" spans="1:16">
      <c r="J35" s="37"/>
    </row>
    <row r="36" spans="1:16">
      <c r="A36" s="40" t="s">
        <v>18</v>
      </c>
      <c r="B36" s="40" t="s">
        <v>19</v>
      </c>
      <c r="C36" s="40" t="s">
        <v>6</v>
      </c>
      <c r="E36" s="36"/>
      <c r="F36" t="s">
        <v>123</v>
      </c>
      <c r="G36" s="17">
        <f>SUM(G14:G34)</f>
        <v>15030</v>
      </c>
      <c r="H36" s="36"/>
      <c r="I36" s="36"/>
      <c r="J36" s="37"/>
    </row>
    <row r="37" spans="1:16">
      <c r="A37" s="9" t="s">
        <v>20</v>
      </c>
      <c r="B37" s="3">
        <v>1</v>
      </c>
      <c r="C37" s="22">
        <v>20.833333333333336</v>
      </c>
      <c r="E37" s="36"/>
      <c r="F37" s="36"/>
      <c r="H37" s="36"/>
      <c r="I37" s="36"/>
      <c r="J37" s="37"/>
    </row>
    <row r="38" spans="1:16">
      <c r="A38" s="11"/>
      <c r="B38" s="4">
        <v>3</v>
      </c>
      <c r="C38" s="4">
        <v>30</v>
      </c>
      <c r="E38" s="36"/>
      <c r="F38" s="36"/>
      <c r="I38" s="36"/>
      <c r="J38" s="37"/>
    </row>
    <row r="39" spans="1:16">
      <c r="A39" s="10"/>
      <c r="B39" s="5">
        <v>5</v>
      </c>
      <c r="C39" s="6">
        <v>43.2</v>
      </c>
      <c r="E39" s="36"/>
      <c r="F39" s="36"/>
      <c r="H39" s="36"/>
      <c r="I39" s="36"/>
      <c r="J39" s="37"/>
    </row>
    <row r="40" spans="1:16">
      <c r="A40" s="9" t="s">
        <v>21</v>
      </c>
      <c r="B40" s="3">
        <v>2</v>
      </c>
      <c r="C40" s="3">
        <v>25</v>
      </c>
      <c r="E40" s="36"/>
      <c r="F40" s="36"/>
      <c r="H40" s="36"/>
      <c r="I40" s="36"/>
      <c r="J40" s="37"/>
    </row>
    <row r="41" spans="1:16">
      <c r="A41" s="11"/>
      <c r="B41" s="4">
        <v>4</v>
      </c>
      <c r="C41" s="7">
        <v>36</v>
      </c>
      <c r="E41" s="36"/>
      <c r="F41" s="36"/>
      <c r="I41" s="36"/>
      <c r="J41" s="37"/>
    </row>
    <row r="42" spans="1:16">
      <c r="A42" s="10"/>
      <c r="B42" s="5">
        <v>6</v>
      </c>
      <c r="C42" s="6">
        <v>51.8</v>
      </c>
      <c r="E42" s="36"/>
      <c r="F42" s="36"/>
      <c r="H42" s="36"/>
      <c r="I42" s="36"/>
      <c r="J42" s="37"/>
    </row>
    <row r="43" spans="1:16">
      <c r="A43" s="9" t="s">
        <v>22</v>
      </c>
      <c r="B43" s="3">
        <v>7</v>
      </c>
      <c r="C43" s="8">
        <v>62.2</v>
      </c>
      <c r="E43" s="36"/>
      <c r="F43" s="36"/>
      <c r="H43" s="36"/>
      <c r="I43" s="36"/>
      <c r="J43" s="37"/>
    </row>
    <row r="44" spans="1:16">
      <c r="A44" s="11"/>
      <c r="B44" s="4">
        <v>9</v>
      </c>
      <c r="C44" s="7">
        <v>89.6</v>
      </c>
      <c r="E44" s="36"/>
      <c r="F44" s="36"/>
      <c r="H44" s="36"/>
      <c r="I44" s="36"/>
      <c r="J44" s="37"/>
    </row>
    <row r="45" spans="1:16">
      <c r="A45" s="10"/>
      <c r="B45" s="5">
        <v>11</v>
      </c>
      <c r="C45" s="6">
        <v>129</v>
      </c>
      <c r="E45" s="36"/>
      <c r="F45" s="36"/>
      <c r="H45" s="36"/>
      <c r="I45" s="36"/>
      <c r="J45" s="37"/>
    </row>
    <row r="46" spans="1:16">
      <c r="A46" s="9" t="s">
        <v>23</v>
      </c>
      <c r="B46" s="3">
        <v>8</v>
      </c>
      <c r="C46" s="8">
        <v>74.599999999999994</v>
      </c>
      <c r="E46" s="36"/>
      <c r="F46" s="36"/>
      <c r="H46" s="36"/>
      <c r="I46" s="36"/>
      <c r="J46" s="37"/>
    </row>
    <row r="47" spans="1:16">
      <c r="A47" s="11"/>
      <c r="B47" s="4">
        <v>10</v>
      </c>
      <c r="C47" s="7">
        <v>107.5</v>
      </c>
      <c r="E47" s="36"/>
      <c r="F47" s="36"/>
      <c r="H47" s="36"/>
      <c r="I47" s="36"/>
      <c r="J47" s="37"/>
    </row>
    <row r="48" spans="1:16">
      <c r="A48" s="10"/>
      <c r="B48" s="5">
        <v>12</v>
      </c>
      <c r="C48" s="6">
        <v>154.80000000000001</v>
      </c>
      <c r="E48" s="36"/>
      <c r="F48" s="36"/>
      <c r="H48" s="36"/>
      <c r="I48" s="36"/>
      <c r="J48" s="37"/>
    </row>
    <row r="49" spans="1:10">
      <c r="A49" s="9" t="s">
        <v>24</v>
      </c>
      <c r="B49" s="3">
        <v>13</v>
      </c>
      <c r="C49" s="8">
        <v>185.8</v>
      </c>
      <c r="E49" s="36"/>
      <c r="F49" s="36"/>
      <c r="H49" s="36"/>
      <c r="I49" s="36"/>
      <c r="J49" s="37"/>
    </row>
    <row r="50" spans="1:10">
      <c r="A50" s="11"/>
      <c r="B50" s="4">
        <v>15</v>
      </c>
      <c r="C50" s="7">
        <v>267.5</v>
      </c>
      <c r="E50" s="36"/>
      <c r="F50" s="36"/>
      <c r="H50" s="36"/>
      <c r="I50" s="36"/>
      <c r="J50" s="37"/>
    </row>
    <row r="51" spans="1:10">
      <c r="A51" s="10"/>
      <c r="B51" s="5">
        <v>17</v>
      </c>
      <c r="C51" s="6">
        <v>385.2</v>
      </c>
      <c r="E51" s="36"/>
      <c r="F51" s="36"/>
      <c r="H51" s="36"/>
      <c r="I51" s="36"/>
      <c r="J51" s="37"/>
    </row>
    <row r="52" spans="1:10">
      <c r="A52" s="9" t="s">
        <v>25</v>
      </c>
      <c r="B52" s="3">
        <v>14</v>
      </c>
      <c r="C52" s="8">
        <v>222.9</v>
      </c>
      <c r="E52" s="36"/>
      <c r="F52" s="36"/>
      <c r="H52" s="36"/>
      <c r="I52" s="36"/>
      <c r="J52" s="37"/>
    </row>
    <row r="53" spans="1:10">
      <c r="A53" s="11"/>
      <c r="B53" s="4">
        <v>16</v>
      </c>
      <c r="C53" s="7">
        <v>321</v>
      </c>
      <c r="E53" s="36"/>
      <c r="H53" s="36"/>
      <c r="I53" s="36"/>
      <c r="J53" s="37"/>
    </row>
    <row r="54" spans="1:10">
      <c r="A54" s="5"/>
      <c r="B54" s="23">
        <v>18</v>
      </c>
      <c r="C54" s="24">
        <v>462.2</v>
      </c>
      <c r="E54" s="36"/>
      <c r="J54" s="37"/>
    </row>
    <row r="55" spans="1:10">
      <c r="A55" s="25" t="s">
        <v>26</v>
      </c>
      <c r="B55" s="26">
        <v>19</v>
      </c>
      <c r="C55" s="27">
        <v>554.70000000000005</v>
      </c>
      <c r="E55" s="36"/>
      <c r="J55" s="37"/>
    </row>
    <row r="56" spans="1:10">
      <c r="A56" s="25" t="s">
        <v>77</v>
      </c>
      <c r="B56" s="26">
        <v>20</v>
      </c>
      <c r="C56" s="27">
        <v>665.6</v>
      </c>
      <c r="E56" s="36"/>
      <c r="J56" s="37"/>
    </row>
    <row r="57" spans="1:10">
      <c r="A57" s="25" t="s">
        <v>78</v>
      </c>
      <c r="B57" s="26">
        <v>21</v>
      </c>
      <c r="C57" s="27">
        <v>798.7</v>
      </c>
    </row>
  </sheetData>
  <mergeCells count="1">
    <mergeCell ref="C5:D5"/>
  </mergeCells>
  <pageMargins left="0.75" right="0.75" top="1" bottom="1" header="0.5" footer="0.5"/>
  <pageSetup orientation="portrait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P58"/>
  <sheetViews>
    <sheetView workbookViewId="0">
      <selection activeCell="F38" sqref="F38"/>
    </sheetView>
  </sheetViews>
  <sheetFormatPr defaultColWidth="11.44140625" defaultRowHeight="15"/>
  <cols>
    <col min="6" max="6" width="12" customWidth="1"/>
    <col min="7" max="7" width="11.44140625" customWidth="1"/>
  </cols>
  <sheetData>
    <row r="3" spans="1:16">
      <c r="A3" s="33" t="s">
        <v>117</v>
      </c>
    </row>
    <row r="4" spans="1:16">
      <c r="A4" s="30" t="s">
        <v>115</v>
      </c>
      <c r="B4" s="4"/>
      <c r="C4" s="4"/>
      <c r="D4" s="4"/>
      <c r="E4" s="4"/>
      <c r="F4" s="4"/>
      <c r="G4" s="4"/>
    </row>
    <row r="5" spans="1:16">
      <c r="A5" s="32">
        <v>43040</v>
      </c>
      <c r="B5" s="31"/>
      <c r="C5" s="74" t="s">
        <v>89</v>
      </c>
      <c r="D5" s="74"/>
      <c r="E5" s="31">
        <v>4</v>
      </c>
      <c r="F5" s="31" t="s">
        <v>90</v>
      </c>
      <c r="G5" s="31"/>
    </row>
    <row r="6" spans="1:16">
      <c r="B6" s="31"/>
      <c r="C6" s="31"/>
      <c r="D6" s="31"/>
      <c r="E6" s="31"/>
      <c r="F6" s="31"/>
      <c r="G6" s="31"/>
    </row>
    <row r="7" spans="1:16">
      <c r="B7" s="41" t="s">
        <v>93</v>
      </c>
      <c r="C7" s="36" t="s">
        <v>94</v>
      </c>
      <c r="D7" t="s">
        <v>122</v>
      </c>
      <c r="E7" s="31"/>
      <c r="F7" s="31"/>
      <c r="G7" s="31"/>
    </row>
    <row r="8" spans="1:16">
      <c r="B8" s="36"/>
      <c r="C8" s="36" t="s">
        <v>95</v>
      </c>
      <c r="D8" s="31" t="s">
        <v>118</v>
      </c>
      <c r="E8" s="31"/>
      <c r="F8" s="31"/>
      <c r="G8" s="31"/>
    </row>
    <row r="9" spans="1:16">
      <c r="B9" s="36"/>
      <c r="C9" s="36" t="s">
        <v>96</v>
      </c>
      <c r="D9" s="31" t="s">
        <v>120</v>
      </c>
      <c r="E9" s="31"/>
      <c r="F9" s="31"/>
      <c r="G9" s="31"/>
    </row>
    <row r="10" spans="1:16">
      <c r="B10" s="31"/>
      <c r="C10" s="31"/>
      <c r="D10" s="31"/>
      <c r="E10" s="31"/>
      <c r="F10" s="31"/>
      <c r="G10" s="31"/>
    </row>
    <row r="11" spans="1:16">
      <c r="A11" s="31"/>
      <c r="B11" s="31"/>
      <c r="C11" s="31"/>
      <c r="D11" s="31"/>
      <c r="E11" s="31"/>
      <c r="F11" s="31"/>
      <c r="G11" s="31"/>
      <c r="J11" t="s">
        <v>119</v>
      </c>
    </row>
    <row r="12" spans="1:16">
      <c r="A12" s="34"/>
      <c r="B12" s="34"/>
      <c r="C12" s="34" t="s">
        <v>6</v>
      </c>
      <c r="D12" s="34" t="s">
        <v>13</v>
      </c>
      <c r="E12" s="34" t="s">
        <v>14</v>
      </c>
      <c r="F12" s="34" t="s">
        <v>15</v>
      </c>
      <c r="G12" s="34" t="s">
        <v>85</v>
      </c>
      <c r="H12" s="34" t="s">
        <v>61</v>
      </c>
      <c r="I12" s="34" t="s">
        <v>86</v>
      </c>
      <c r="J12" s="34"/>
      <c r="K12" s="34" t="s">
        <v>87</v>
      </c>
      <c r="L12" s="34" t="s">
        <v>88</v>
      </c>
      <c r="M12" s="34" t="s">
        <v>87</v>
      </c>
      <c r="N12" s="34" t="s">
        <v>88</v>
      </c>
    </row>
    <row r="13" spans="1:16">
      <c r="A13" s="34" t="s">
        <v>10</v>
      </c>
      <c r="B13" s="34" t="s">
        <v>80</v>
      </c>
      <c r="C13" s="34" t="s">
        <v>75</v>
      </c>
      <c r="D13" s="34" t="s">
        <v>75</v>
      </c>
      <c r="E13" s="34" t="s">
        <v>75</v>
      </c>
      <c r="F13" s="34" t="s">
        <v>75</v>
      </c>
      <c r="G13" s="34" t="s">
        <v>82</v>
      </c>
      <c r="H13" s="34" t="s">
        <v>72</v>
      </c>
      <c r="I13" s="34" t="s">
        <v>83</v>
      </c>
      <c r="J13" s="34" t="s">
        <v>81</v>
      </c>
      <c r="K13" s="34" t="s">
        <v>83</v>
      </c>
      <c r="L13" s="34" t="s">
        <v>84</v>
      </c>
      <c r="M13" s="34" t="s">
        <v>83</v>
      </c>
      <c r="N13" s="34" t="s">
        <v>84</v>
      </c>
    </row>
    <row r="14" spans="1:16">
      <c r="A14" s="29">
        <v>1</v>
      </c>
      <c r="B14" s="35" t="s">
        <v>20</v>
      </c>
      <c r="C14" s="29">
        <v>20</v>
      </c>
      <c r="D14" s="29">
        <v>18.399999999999999</v>
      </c>
      <c r="E14" s="29">
        <v>21.6</v>
      </c>
      <c r="F14" s="29">
        <f>E14-D14</f>
        <v>3.2000000000000028</v>
      </c>
      <c r="G14" s="29">
        <v>6.7740351234</v>
      </c>
      <c r="H14" s="29">
        <v>40.909698526900002</v>
      </c>
      <c r="I14" s="29">
        <v>101.09559999999999</v>
      </c>
      <c r="J14" s="28">
        <v>128</v>
      </c>
      <c r="K14" s="29">
        <f>I14/SQRT(J14)</f>
        <v>8.9356730385153398</v>
      </c>
      <c r="L14" s="29">
        <f t="shared" ref="L14:L33" si="0">K14*2.169*SQRT(2)/SQRT($E$5)</f>
        <v>13.704772274999998</v>
      </c>
      <c r="M14" s="42">
        <v>10.361193845499999</v>
      </c>
      <c r="N14" s="43">
        <v>15.893583807599999</v>
      </c>
      <c r="O14" s="36"/>
      <c r="P14" s="38"/>
    </row>
    <row r="15" spans="1:16">
      <c r="A15" s="29">
        <v>2</v>
      </c>
      <c r="B15" s="35" t="s">
        <v>20</v>
      </c>
      <c r="C15" s="29">
        <v>24.3</v>
      </c>
      <c r="D15" s="29">
        <v>22.356000000000002</v>
      </c>
      <c r="E15" s="29">
        <v>26.244</v>
      </c>
      <c r="F15" s="29">
        <f t="shared" ref="F15:F33" si="1">E15-D15</f>
        <v>3.8879999999999981</v>
      </c>
      <c r="G15" s="29">
        <v>10</v>
      </c>
      <c r="H15" s="29">
        <v>34.989864501100001</v>
      </c>
      <c r="I15" s="29">
        <v>78.371668595299994</v>
      </c>
      <c r="J15" s="28">
        <v>128</v>
      </c>
      <c r="K15" s="29">
        <f t="shared" ref="K15:K33" si="2">I15/SQRT(J15)</f>
        <v>6.9271422895801757</v>
      </c>
      <c r="L15" s="29">
        <f t="shared" si="0"/>
        <v>10.624259323950355</v>
      </c>
      <c r="M15" s="42">
        <v>7.3027840474100003</v>
      </c>
      <c r="N15" s="43">
        <v>11.2021270924</v>
      </c>
      <c r="O15" s="36"/>
      <c r="P15" s="38"/>
    </row>
    <row r="16" spans="1:16">
      <c r="A16" s="29">
        <v>3</v>
      </c>
      <c r="B16" s="35" t="s">
        <v>20</v>
      </c>
      <c r="C16" s="29">
        <v>29.5245</v>
      </c>
      <c r="D16" s="29">
        <v>27.16254</v>
      </c>
      <c r="E16" s="29">
        <v>31.88646</v>
      </c>
      <c r="F16" s="29">
        <f t="shared" si="1"/>
        <v>4.7239199999999997</v>
      </c>
      <c r="G16" s="29">
        <v>14.76225</v>
      </c>
      <c r="H16" s="29">
        <v>30.4012292297</v>
      </c>
      <c r="I16" s="29">
        <v>65.227186623700007</v>
      </c>
      <c r="J16" s="28">
        <v>128</v>
      </c>
      <c r="K16" s="29">
        <f t="shared" si="2"/>
        <v>5.7653232474173421</v>
      </c>
      <c r="L16" s="29">
        <f t="shared" si="0"/>
        <v>8.8423604866753323</v>
      </c>
      <c r="M16" s="42">
        <v>5.7653232474200005</v>
      </c>
      <c r="N16" s="43">
        <v>8.8437345712299997</v>
      </c>
      <c r="O16" s="36"/>
      <c r="P16" s="38"/>
    </row>
    <row r="17" spans="1:16">
      <c r="A17" s="29">
        <v>4</v>
      </c>
      <c r="B17" s="35" t="s">
        <v>21</v>
      </c>
      <c r="C17" s="29">
        <v>35.8722675</v>
      </c>
      <c r="D17" s="29">
        <v>33.002486099999999</v>
      </c>
      <c r="E17" s="29">
        <v>38.7420489</v>
      </c>
      <c r="F17" s="29">
        <f t="shared" si="1"/>
        <v>5.7395628000000016</v>
      </c>
      <c r="G17" s="29">
        <v>6.7740351234</v>
      </c>
      <c r="H17" s="29">
        <v>22.808537835999999</v>
      </c>
      <c r="I17" s="29">
        <v>76.642576260600009</v>
      </c>
      <c r="J17" s="28">
        <v>250</v>
      </c>
      <c r="K17" s="29">
        <f t="shared" si="2"/>
        <v>4.8473021345329359</v>
      </c>
      <c r="L17" s="29">
        <f t="shared" si="0"/>
        <v>7.4343780950307483</v>
      </c>
      <c r="M17" s="42">
        <v>5.4770895134199993</v>
      </c>
      <c r="N17" s="43">
        <v>8.4015975862700003</v>
      </c>
      <c r="O17" s="36"/>
      <c r="P17" s="38"/>
    </row>
    <row r="18" spans="1:16">
      <c r="A18" s="29">
        <v>5</v>
      </c>
      <c r="B18" s="35" t="s">
        <v>21</v>
      </c>
      <c r="C18" s="29">
        <v>43.584805012499999</v>
      </c>
      <c r="D18" s="29">
        <v>40.098020611499997</v>
      </c>
      <c r="E18" s="29">
        <v>47.0715894135</v>
      </c>
      <c r="F18" s="29">
        <f t="shared" si="1"/>
        <v>6.9735688020000026</v>
      </c>
      <c r="G18" s="29">
        <v>10</v>
      </c>
      <c r="H18" s="29">
        <v>19.5080305426</v>
      </c>
      <c r="I18" s="29">
        <v>59.733502140000006</v>
      </c>
      <c r="J18" s="28">
        <v>250</v>
      </c>
      <c r="K18" s="29">
        <f t="shared" si="2"/>
        <v>3.7778783876188422</v>
      </c>
      <c r="L18" s="29">
        <f t="shared" si="0"/>
        <v>5.7941872718255594</v>
      </c>
      <c r="M18" s="42">
        <v>3.9348865390800003</v>
      </c>
      <c r="N18" s="43">
        <v>6.0359307927999994</v>
      </c>
      <c r="O18" s="36"/>
      <c r="P18" s="38"/>
    </row>
    <row r="19" spans="1:16">
      <c r="A19" s="29">
        <v>6</v>
      </c>
      <c r="B19" s="35" t="s">
        <v>21</v>
      </c>
      <c r="C19" s="29">
        <v>52.955538090200001</v>
      </c>
      <c r="D19" s="29">
        <v>48.719095043000003</v>
      </c>
      <c r="E19" s="29">
        <v>57.191981137399999</v>
      </c>
      <c r="F19" s="29">
        <f t="shared" si="1"/>
        <v>8.4728860943999962</v>
      </c>
      <c r="G19" s="29">
        <v>14.76225</v>
      </c>
      <c r="H19" s="29">
        <v>16.9497114893</v>
      </c>
      <c r="I19" s="29">
        <v>50.131999999999998</v>
      </c>
      <c r="J19" s="28">
        <v>250</v>
      </c>
      <c r="K19" s="29">
        <f t="shared" si="2"/>
        <v>3.1706260731912237</v>
      </c>
      <c r="L19" s="29">
        <f t="shared" si="0"/>
        <v>4.8628355262070837</v>
      </c>
      <c r="M19" s="42">
        <v>3.1706284989499998</v>
      </c>
      <c r="N19" s="43">
        <v>4.8635949217999999</v>
      </c>
      <c r="O19" s="36"/>
      <c r="P19" s="38"/>
    </row>
    <row r="20" spans="1:16">
      <c r="A20" s="29">
        <v>7</v>
      </c>
      <c r="B20" s="35" t="s">
        <v>22</v>
      </c>
      <c r="C20" s="29">
        <v>64.340978779599993</v>
      </c>
      <c r="D20" s="29">
        <v>59.193700477199997</v>
      </c>
      <c r="E20" s="29">
        <v>69.488257081900002</v>
      </c>
      <c r="F20" s="29">
        <f t="shared" si="1"/>
        <v>10.294556604700006</v>
      </c>
      <c r="G20" s="29">
        <v>6.7740351234</v>
      </c>
      <c r="H20" s="29">
        <v>12.716529746000001</v>
      </c>
      <c r="I20" s="29">
        <v>59.936374998000005</v>
      </c>
      <c r="J20" s="28">
        <v>876</v>
      </c>
      <c r="K20" s="29">
        <f t="shared" si="2"/>
        <v>2.025062445595851</v>
      </c>
      <c r="L20" s="29">
        <f t="shared" si="0"/>
        <v>3.1058678557196702</v>
      </c>
      <c r="M20" s="42">
        <v>2.2073953500799997</v>
      </c>
      <c r="N20" s="43">
        <v>3.3859999999999997</v>
      </c>
      <c r="O20" s="36"/>
      <c r="P20" s="38"/>
    </row>
    <row r="21" spans="1:16">
      <c r="A21" s="29">
        <v>8</v>
      </c>
      <c r="B21" s="35" t="s">
        <v>22</v>
      </c>
      <c r="C21" s="29">
        <v>78.174289217199998</v>
      </c>
      <c r="D21" s="29">
        <v>71.920346079799998</v>
      </c>
      <c r="E21" s="29">
        <v>84.428232354599999</v>
      </c>
      <c r="F21" s="29">
        <f t="shared" si="1"/>
        <v>12.507886274800001</v>
      </c>
      <c r="G21" s="29">
        <v>10</v>
      </c>
      <c r="H21" s="29">
        <v>10.8763855213</v>
      </c>
      <c r="I21" s="29">
        <v>47.668263955099995</v>
      </c>
      <c r="J21" s="28">
        <v>876</v>
      </c>
      <c r="K21" s="29">
        <f t="shared" si="2"/>
        <v>1.6105613858936991</v>
      </c>
      <c r="L21" s="29">
        <f t="shared" si="0"/>
        <v>2.4701415252598435</v>
      </c>
      <c r="M21" s="42">
        <v>1.6524734295099999</v>
      </c>
      <c r="N21" s="43">
        <v>2.5348164828599997</v>
      </c>
      <c r="O21" s="36"/>
      <c r="P21" s="38"/>
    </row>
    <row r="22" spans="1:16">
      <c r="A22" s="29">
        <v>9</v>
      </c>
      <c r="B22" s="35" t="s">
        <v>22</v>
      </c>
      <c r="C22" s="29">
        <v>94.981761398900005</v>
      </c>
      <c r="D22" s="29">
        <v>87.383220487000003</v>
      </c>
      <c r="E22" s="29">
        <v>102.580302311</v>
      </c>
      <c r="F22" s="29">
        <f t="shared" si="1"/>
        <v>15.197081823999994</v>
      </c>
      <c r="G22" s="29">
        <v>14.76225</v>
      </c>
      <c r="H22" s="29">
        <v>9.4500362930000001</v>
      </c>
      <c r="I22" s="29">
        <v>41.305339145700003</v>
      </c>
      <c r="J22" s="28">
        <v>876</v>
      </c>
      <c r="K22" s="29">
        <f t="shared" si="2"/>
        <v>1.3955780794108492</v>
      </c>
      <c r="L22" s="29">
        <f t="shared" si="0"/>
        <v>2.1404184875463335</v>
      </c>
      <c r="M22" s="42">
        <v>1.3955780794099999</v>
      </c>
      <c r="N22" s="43">
        <v>2.14075110416</v>
      </c>
      <c r="O22" s="36"/>
      <c r="P22" s="38"/>
    </row>
    <row r="23" spans="1:16">
      <c r="A23" s="29">
        <v>10</v>
      </c>
      <c r="B23" s="35" t="s">
        <v>23</v>
      </c>
      <c r="C23" s="29">
        <v>115.40284010000001</v>
      </c>
      <c r="D23" s="29">
        <v>106.17061289199999</v>
      </c>
      <c r="E23" s="29">
        <v>124.635067308</v>
      </c>
      <c r="F23" s="29">
        <f t="shared" si="1"/>
        <v>18.464454416000009</v>
      </c>
      <c r="G23" s="29">
        <v>6.7740351234</v>
      </c>
      <c r="H23" s="29">
        <v>7.0898945800000002</v>
      </c>
      <c r="I23" s="29">
        <v>52.272293312199999</v>
      </c>
      <c r="J23" s="28">
        <v>1180</v>
      </c>
      <c r="K23" s="29">
        <f t="shared" si="2"/>
        <v>1.5217052901036325</v>
      </c>
      <c r="L23" s="29">
        <f t="shared" si="0"/>
        <v>2.3338616331017956</v>
      </c>
      <c r="M23" s="42">
        <v>1.59390676657</v>
      </c>
      <c r="N23" s="43">
        <v>2.4449999999999998</v>
      </c>
      <c r="O23" s="36"/>
      <c r="P23" s="38"/>
    </row>
    <row r="24" spans="1:16">
      <c r="A24" s="29">
        <v>11</v>
      </c>
      <c r="B24" s="35" t="s">
        <v>23</v>
      </c>
      <c r="C24" s="29">
        <v>140.21445072099999</v>
      </c>
      <c r="D24" s="29">
        <v>128.99729466299999</v>
      </c>
      <c r="E24" s="29">
        <v>151.43160677899999</v>
      </c>
      <c r="F24" s="29">
        <f t="shared" si="1"/>
        <v>22.434312116000001</v>
      </c>
      <c r="G24" s="29">
        <v>10</v>
      </c>
      <c r="H24" s="29">
        <v>6.0639520606000001</v>
      </c>
      <c r="I24" s="29">
        <v>44.8762332668</v>
      </c>
      <c r="J24" s="28">
        <v>1180</v>
      </c>
      <c r="K24" s="29">
        <f t="shared" si="2"/>
        <v>1.306397658012761</v>
      </c>
      <c r="L24" s="29">
        <f t="shared" si="0"/>
        <v>2.0036411724653864</v>
      </c>
      <c r="M24" s="42">
        <v>1.3218849073600001</v>
      </c>
      <c r="N24" s="43">
        <v>2.0277092459100001</v>
      </c>
      <c r="O24" s="36"/>
      <c r="P24" s="38"/>
    </row>
    <row r="25" spans="1:16">
      <c r="A25" s="29">
        <v>12</v>
      </c>
      <c r="B25" s="35" t="s">
        <v>23</v>
      </c>
      <c r="C25" s="29">
        <v>170.360557626</v>
      </c>
      <c r="D25" s="29">
        <v>156.73171301599999</v>
      </c>
      <c r="E25" s="29">
        <v>183.98940223599999</v>
      </c>
      <c r="F25" s="29">
        <f t="shared" si="1"/>
        <v>27.257689220000003</v>
      </c>
      <c r="G25" s="29">
        <v>14.76225</v>
      </c>
      <c r="H25" s="29">
        <v>5.2687142193999996</v>
      </c>
      <c r="I25" s="29">
        <v>43.901729316400001</v>
      </c>
      <c r="J25" s="28">
        <v>1180</v>
      </c>
      <c r="K25" s="29">
        <f t="shared" si="2"/>
        <v>1.2780287512251096</v>
      </c>
      <c r="L25" s="29">
        <f t="shared" si="0"/>
        <v>1.9601313657010084</v>
      </c>
      <c r="M25" s="42">
        <v>1.278</v>
      </c>
      <c r="N25" s="43">
        <v>1.9604359660700001</v>
      </c>
      <c r="O25" s="36"/>
      <c r="P25" s="38"/>
    </row>
    <row r="26" spans="1:16">
      <c r="A26" s="29">
        <v>13</v>
      </c>
      <c r="B26" s="35" t="s">
        <v>24</v>
      </c>
      <c r="C26" s="29">
        <v>206.988077516</v>
      </c>
      <c r="D26" s="29">
        <v>190.42903131400001</v>
      </c>
      <c r="E26" s="29">
        <v>223.54712371700001</v>
      </c>
      <c r="F26" s="29">
        <f t="shared" si="1"/>
        <v>33.118092402999991</v>
      </c>
      <c r="G26" s="29">
        <v>6.7740351234</v>
      </c>
      <c r="H26" s="29">
        <v>3.9528555478</v>
      </c>
      <c r="I26" s="29">
        <v>66.176285269899992</v>
      </c>
      <c r="J26" s="28">
        <v>1400</v>
      </c>
      <c r="K26" s="29">
        <f t="shared" si="2"/>
        <v>1.7686356186384347</v>
      </c>
      <c r="L26" s="29">
        <f t="shared" si="0"/>
        <v>2.7125822852310577</v>
      </c>
      <c r="M26" s="42">
        <v>1.7991303452699998</v>
      </c>
      <c r="N26" s="43">
        <v>2.7597812906300003</v>
      </c>
      <c r="O26" s="36"/>
      <c r="P26" s="38"/>
    </row>
    <row r="27" spans="1:16">
      <c r="A27" s="29">
        <v>14</v>
      </c>
      <c r="B27" s="35" t="s">
        <v>24</v>
      </c>
      <c r="C27" s="29">
        <v>251.490514182</v>
      </c>
      <c r="D27" s="29">
        <v>231.37127304699999</v>
      </c>
      <c r="E27" s="29">
        <v>271.60975531600002</v>
      </c>
      <c r="F27" s="29">
        <f t="shared" si="1"/>
        <v>40.238482269000031</v>
      </c>
      <c r="G27" s="29">
        <v>10</v>
      </c>
      <c r="H27" s="29">
        <v>3.3808579625999999</v>
      </c>
      <c r="I27" s="29">
        <v>75.222138171799998</v>
      </c>
      <c r="J27" s="28">
        <v>1400</v>
      </c>
      <c r="K27" s="29">
        <f t="shared" si="2"/>
        <v>2.0103962067103249</v>
      </c>
      <c r="L27" s="29">
        <f t="shared" si="0"/>
        <v>3.0833740308907482</v>
      </c>
      <c r="M27" s="42">
        <v>2.0184484876699997</v>
      </c>
      <c r="N27" s="43">
        <v>3.09620500093</v>
      </c>
      <c r="O27" s="36"/>
      <c r="P27" s="38"/>
    </row>
    <row r="28" spans="1:16">
      <c r="A28" s="29">
        <v>15</v>
      </c>
      <c r="B28" s="35" t="s">
        <v>24</v>
      </c>
      <c r="C28" s="29">
        <v>305.56097473099999</v>
      </c>
      <c r="D28" s="29">
        <v>281.11609675199998</v>
      </c>
      <c r="E28" s="29">
        <v>330.00585270900001</v>
      </c>
      <c r="F28" s="29">
        <f t="shared" si="1"/>
        <v>48.889755957000034</v>
      </c>
      <c r="G28" s="29">
        <v>14.76225</v>
      </c>
      <c r="H28" s="29">
        <v>2.9374860227999999</v>
      </c>
      <c r="I28" s="29">
        <v>111.7368</v>
      </c>
      <c r="J28" s="28">
        <v>1400</v>
      </c>
      <c r="K28" s="29">
        <f t="shared" si="2"/>
        <v>2.9862915935320178</v>
      </c>
      <c r="L28" s="29">
        <f t="shared" si="0"/>
        <v>4.5801190419231235</v>
      </c>
      <c r="M28" s="42">
        <v>2.9862923249</v>
      </c>
      <c r="N28" s="43">
        <v>4.5808319048500001</v>
      </c>
      <c r="O28" s="36"/>
      <c r="P28" s="38"/>
    </row>
    <row r="29" spans="1:16">
      <c r="A29" s="29">
        <v>16</v>
      </c>
      <c r="B29" s="35" t="s">
        <v>25</v>
      </c>
      <c r="C29" s="29">
        <v>371.25658429800001</v>
      </c>
      <c r="D29" s="29">
        <v>341.55605755400001</v>
      </c>
      <c r="E29" s="29">
        <v>400.95711104200001</v>
      </c>
      <c r="F29" s="29">
        <f t="shared" si="1"/>
        <v>59.401053488000002</v>
      </c>
      <c r="G29" s="29">
        <v>6.7740351234</v>
      </c>
      <c r="H29" s="29">
        <v>2.2038503966</v>
      </c>
      <c r="I29" s="29">
        <v>265.16270000000003</v>
      </c>
      <c r="J29" s="28">
        <v>1100</v>
      </c>
      <c r="K29" s="29">
        <f t="shared" si="2"/>
        <v>7.9949562208870164</v>
      </c>
      <c r="L29" s="29">
        <f t="shared" si="0"/>
        <v>12.261981149441882</v>
      </c>
      <c r="M29" s="42">
        <v>8.0408673774500006</v>
      </c>
      <c r="N29" s="43">
        <v>12.3343121898</v>
      </c>
      <c r="O29" s="36"/>
      <c r="P29" s="38"/>
    </row>
    <row r="30" spans="1:16">
      <c r="A30" s="29">
        <v>17</v>
      </c>
      <c r="B30" s="35" t="s">
        <v>25</v>
      </c>
      <c r="C30" s="29">
        <v>451.07674992199998</v>
      </c>
      <c r="D30" s="29">
        <v>414.99060992800003</v>
      </c>
      <c r="E30" s="29">
        <v>487.16288991499999</v>
      </c>
      <c r="F30" s="29">
        <f t="shared" si="1"/>
        <v>72.172279986999968</v>
      </c>
      <c r="G30" s="29">
        <v>10</v>
      </c>
      <c r="H30" s="29">
        <v>1.8849424349999999</v>
      </c>
      <c r="I30" s="29">
        <v>627.25009999999997</v>
      </c>
      <c r="J30" s="28">
        <v>1100</v>
      </c>
      <c r="K30" s="29">
        <f t="shared" si="2"/>
        <v>18.912302103753667</v>
      </c>
      <c r="L30" s="29">
        <f t="shared" si="0"/>
        <v>29.006074014880426</v>
      </c>
      <c r="M30" s="42">
        <v>18.9444226966</v>
      </c>
      <c r="N30" s="43">
        <v>29.059852976799998</v>
      </c>
      <c r="O30" s="36"/>
      <c r="P30" s="38"/>
    </row>
    <row r="31" spans="1:16">
      <c r="A31" s="29">
        <v>18</v>
      </c>
      <c r="B31" s="35" t="s">
        <v>25</v>
      </c>
      <c r="C31" s="29">
        <v>548.05825115499999</v>
      </c>
      <c r="D31" s="29">
        <v>504.21359106199998</v>
      </c>
      <c r="E31" s="29">
        <v>591.90291124700002</v>
      </c>
      <c r="F31" s="29">
        <f t="shared" si="1"/>
        <v>87.689320185000042</v>
      </c>
      <c r="G31" s="29">
        <v>14.76225</v>
      </c>
      <c r="H31" s="29">
        <v>1.6377476125999999</v>
      </c>
      <c r="I31" s="29">
        <v>2156.1215000000002</v>
      </c>
      <c r="J31" s="28">
        <v>1100</v>
      </c>
      <c r="K31" s="29">
        <f t="shared" si="2"/>
        <v>65.009509253802463</v>
      </c>
      <c r="L31" s="29">
        <f t="shared" si="0"/>
        <v>99.706034027057171</v>
      </c>
      <c r="M31" s="42">
        <v>65.009508752199991</v>
      </c>
      <c r="N31" s="43">
        <v>99.721527369399993</v>
      </c>
      <c r="O31" s="36"/>
      <c r="P31" s="38"/>
    </row>
    <row r="32" spans="1:16">
      <c r="A32" s="29">
        <v>19</v>
      </c>
      <c r="B32" s="35" t="s">
        <v>26</v>
      </c>
      <c r="C32" s="29">
        <v>665.89077515300005</v>
      </c>
      <c r="D32" s="29">
        <v>612.61951314099997</v>
      </c>
      <c r="E32" s="29">
        <v>719.16203716500002</v>
      </c>
      <c r="F32" s="29">
        <f t="shared" si="1"/>
        <v>106.54252402400004</v>
      </c>
      <c r="G32" s="29">
        <v>10</v>
      </c>
      <c r="H32" s="29">
        <v>1.2768666259999999</v>
      </c>
      <c r="I32" s="29">
        <v>11443.01</v>
      </c>
      <c r="J32" s="28">
        <v>240</v>
      </c>
      <c r="K32" s="29">
        <f t="shared" si="2"/>
        <v>738.64311934141551</v>
      </c>
      <c r="L32" s="29">
        <f t="shared" si="0"/>
        <v>1132.8677425233623</v>
      </c>
      <c r="M32" s="42">
        <v>739.47649999999999</v>
      </c>
      <c r="N32" s="43">
        <v>1134.3220999999999</v>
      </c>
      <c r="O32" s="36"/>
      <c r="P32" s="38"/>
    </row>
    <row r="33" spans="1:16">
      <c r="A33" s="29">
        <v>20</v>
      </c>
      <c r="B33" s="35" t="s">
        <v>77</v>
      </c>
      <c r="C33" s="29">
        <v>809.05729181100003</v>
      </c>
      <c r="D33" s="29">
        <v>744.33270846599999</v>
      </c>
      <c r="E33" s="29">
        <v>873.78187515599996</v>
      </c>
      <c r="F33" s="29">
        <f t="shared" si="1"/>
        <v>129.44916668999997</v>
      </c>
      <c r="G33" s="29">
        <v>10</v>
      </c>
      <c r="H33" s="29">
        <v>1.0509190338000001</v>
      </c>
      <c r="I33" s="29">
        <v>88919.779399999999</v>
      </c>
      <c r="J33" s="28">
        <v>220</v>
      </c>
      <c r="K33" s="29">
        <f t="shared" si="2"/>
        <v>5994.9703041741823</v>
      </c>
      <c r="L33" s="29">
        <f t="shared" si="0"/>
        <v>9194.573532397897</v>
      </c>
      <c r="M33" s="42">
        <v>6000.3729000000003</v>
      </c>
      <c r="N33" s="43">
        <v>9204.2896999999994</v>
      </c>
      <c r="O33" s="36"/>
      <c r="P33" s="38"/>
    </row>
    <row r="34" spans="1:16">
      <c r="A34" s="28"/>
      <c r="B34" s="35"/>
      <c r="C34" s="29"/>
      <c r="G34" s="13"/>
      <c r="H34" s="29"/>
      <c r="I34" s="29"/>
      <c r="J34" s="28"/>
      <c r="K34" s="29"/>
      <c r="L34" s="29"/>
      <c r="M34" s="42"/>
      <c r="N34" s="43"/>
      <c r="O34" s="38"/>
      <c r="P34" s="38"/>
    </row>
    <row r="35" spans="1:16">
      <c r="I35" t="s">
        <v>123</v>
      </c>
      <c r="J35" s="17">
        <f>SUM(J14:J33)</f>
        <v>15262</v>
      </c>
      <c r="M35" s="37"/>
    </row>
    <row r="36" spans="1:16">
      <c r="A36" s="40" t="s">
        <v>18</v>
      </c>
      <c r="B36" s="40" t="s">
        <v>19</v>
      </c>
      <c r="C36" s="40" t="s">
        <v>6</v>
      </c>
      <c r="E36" s="36"/>
      <c r="F36" s="36"/>
      <c r="H36" s="36"/>
      <c r="I36" s="36"/>
      <c r="J36" s="37"/>
    </row>
    <row r="37" spans="1:16">
      <c r="A37" s="9" t="s">
        <v>20</v>
      </c>
      <c r="B37" s="3">
        <v>1</v>
      </c>
      <c r="C37" s="44">
        <v>20</v>
      </c>
      <c r="E37" s="36"/>
      <c r="F37" s="36"/>
      <c r="H37" s="36"/>
      <c r="I37" s="36"/>
      <c r="J37" s="37"/>
    </row>
    <row r="38" spans="1:16">
      <c r="A38" s="11"/>
      <c r="B38" s="4">
        <v>2</v>
      </c>
      <c r="C38" s="7">
        <v>24.3</v>
      </c>
      <c r="E38" s="36"/>
      <c r="F38" s="36"/>
      <c r="I38" s="36"/>
      <c r="J38" s="37"/>
    </row>
    <row r="39" spans="1:16">
      <c r="A39" s="10"/>
      <c r="B39" s="5">
        <v>3</v>
      </c>
      <c r="C39" s="6">
        <v>29.5245</v>
      </c>
      <c r="E39" s="36"/>
      <c r="F39" s="36"/>
      <c r="H39" s="36"/>
      <c r="I39" s="36"/>
      <c r="J39" s="37"/>
    </row>
    <row r="40" spans="1:16">
      <c r="A40" s="9" t="s">
        <v>21</v>
      </c>
      <c r="B40" s="3">
        <v>4</v>
      </c>
      <c r="C40" s="8">
        <v>35.8722675</v>
      </c>
      <c r="E40" s="36"/>
      <c r="F40" s="36"/>
      <c r="H40" s="36"/>
      <c r="I40" s="36"/>
      <c r="J40" s="37"/>
    </row>
    <row r="41" spans="1:16">
      <c r="A41" s="11"/>
      <c r="B41" s="4">
        <v>5</v>
      </c>
      <c r="C41" s="7">
        <v>43.584805012499999</v>
      </c>
      <c r="E41" s="36"/>
      <c r="F41" s="36"/>
      <c r="I41" s="36"/>
      <c r="J41" s="37"/>
    </row>
    <row r="42" spans="1:16">
      <c r="A42" s="10"/>
      <c r="B42" s="5">
        <v>6</v>
      </c>
      <c r="C42" s="6">
        <v>52.955538090200001</v>
      </c>
      <c r="E42" s="36"/>
      <c r="F42" s="36"/>
      <c r="H42" s="36"/>
      <c r="I42" s="36"/>
      <c r="J42" s="37"/>
    </row>
    <row r="43" spans="1:16">
      <c r="A43" s="9" t="s">
        <v>22</v>
      </c>
      <c r="B43" s="3">
        <v>7</v>
      </c>
      <c r="C43" s="8">
        <v>64.340978779599993</v>
      </c>
      <c r="E43" s="36"/>
      <c r="F43" s="36"/>
      <c r="H43" s="36"/>
      <c r="I43" s="36"/>
      <c r="J43" s="37"/>
    </row>
    <row r="44" spans="1:16">
      <c r="A44" s="11"/>
      <c r="B44" s="4">
        <v>8</v>
      </c>
      <c r="C44" s="7">
        <v>78.174289217199998</v>
      </c>
      <c r="E44" s="36"/>
      <c r="F44" s="36"/>
      <c r="H44" s="36"/>
      <c r="I44" s="36"/>
      <c r="J44" s="37"/>
    </row>
    <row r="45" spans="1:16">
      <c r="A45" s="10"/>
      <c r="B45" s="5">
        <v>9</v>
      </c>
      <c r="C45" s="6">
        <v>94.981761398900005</v>
      </c>
      <c r="E45" s="36"/>
      <c r="F45" s="36"/>
      <c r="H45" s="36"/>
      <c r="I45" s="36"/>
      <c r="J45" s="37"/>
    </row>
    <row r="46" spans="1:16">
      <c r="A46" s="9" t="s">
        <v>23</v>
      </c>
      <c r="B46" s="3">
        <v>10</v>
      </c>
      <c r="C46" s="8">
        <v>115.40284010000001</v>
      </c>
      <c r="E46" s="36"/>
      <c r="F46" s="36"/>
      <c r="H46" s="36"/>
      <c r="I46" s="36"/>
      <c r="J46" s="37"/>
    </row>
    <row r="47" spans="1:16">
      <c r="A47" s="11"/>
      <c r="B47" s="4">
        <v>11</v>
      </c>
      <c r="C47" s="7">
        <v>140.21445072099999</v>
      </c>
      <c r="E47" s="36"/>
      <c r="F47" s="36"/>
      <c r="H47" s="36"/>
      <c r="I47" s="36"/>
      <c r="J47" s="37"/>
    </row>
    <row r="48" spans="1:16">
      <c r="A48" s="10"/>
      <c r="B48" s="5">
        <v>12</v>
      </c>
      <c r="C48" s="6">
        <v>170.360557626</v>
      </c>
      <c r="E48" s="36"/>
      <c r="F48" s="36"/>
      <c r="H48" s="36"/>
      <c r="I48" s="36"/>
      <c r="J48" s="37"/>
    </row>
    <row r="49" spans="1:10">
      <c r="A49" s="9" t="s">
        <v>24</v>
      </c>
      <c r="B49" s="3">
        <v>13</v>
      </c>
      <c r="C49" s="8">
        <v>206.988077516</v>
      </c>
      <c r="E49" s="36"/>
      <c r="F49" s="36"/>
      <c r="H49" s="36"/>
      <c r="I49" s="36"/>
      <c r="J49" s="37"/>
    </row>
    <row r="50" spans="1:10">
      <c r="A50" s="11"/>
      <c r="B50" s="4">
        <v>14</v>
      </c>
      <c r="C50" s="7">
        <v>251.490514182</v>
      </c>
      <c r="E50" s="36"/>
      <c r="F50" s="36"/>
      <c r="H50" s="36"/>
      <c r="I50" s="36"/>
      <c r="J50" s="37"/>
    </row>
    <row r="51" spans="1:10">
      <c r="A51" s="10"/>
      <c r="B51" s="5">
        <v>15</v>
      </c>
      <c r="C51" s="6">
        <v>305.56097473099999</v>
      </c>
      <c r="E51" s="36"/>
      <c r="F51" s="36"/>
      <c r="H51" s="36"/>
      <c r="I51" s="36"/>
      <c r="J51" s="37"/>
    </row>
    <row r="52" spans="1:10">
      <c r="A52" s="9" t="s">
        <v>25</v>
      </c>
      <c r="B52" s="3">
        <v>16</v>
      </c>
      <c r="C52" s="8">
        <v>371.25658429800001</v>
      </c>
      <c r="E52" s="36"/>
      <c r="F52" s="36"/>
      <c r="H52" s="36"/>
      <c r="I52" s="36"/>
      <c r="J52" s="37"/>
    </row>
    <row r="53" spans="1:10">
      <c r="A53" s="11"/>
      <c r="B53" s="4">
        <v>17</v>
      </c>
      <c r="C53" s="7">
        <v>451.07674992199998</v>
      </c>
      <c r="E53" s="36"/>
      <c r="H53" s="36"/>
      <c r="I53" s="36"/>
      <c r="J53" s="37"/>
    </row>
    <row r="54" spans="1:10">
      <c r="A54" s="5"/>
      <c r="B54" s="5">
        <v>18</v>
      </c>
      <c r="C54" s="24">
        <v>548.05825115499999</v>
      </c>
      <c r="E54" s="36"/>
      <c r="J54" s="37"/>
    </row>
    <row r="55" spans="1:10">
      <c r="A55" s="25" t="s">
        <v>26</v>
      </c>
      <c r="B55" s="26">
        <v>19</v>
      </c>
      <c r="C55" s="27">
        <v>665.89077515300005</v>
      </c>
      <c r="E55" s="36"/>
      <c r="J55" s="37"/>
    </row>
    <row r="56" spans="1:10">
      <c r="A56" s="25" t="s">
        <v>77</v>
      </c>
      <c r="B56" s="26">
        <v>20</v>
      </c>
      <c r="C56" s="27">
        <v>809.05729181100003</v>
      </c>
      <c r="E56" s="36"/>
      <c r="J56" s="37"/>
    </row>
    <row r="57" spans="1:10">
      <c r="A57" s="45"/>
      <c r="B57" s="46"/>
      <c r="C57" s="47"/>
    </row>
    <row r="58" spans="1:10">
      <c r="A58" s="4"/>
      <c r="B58" s="4"/>
      <c r="C58" s="4"/>
    </row>
  </sheetData>
  <mergeCells count="1">
    <mergeCell ref="C5:D5"/>
  </mergeCells>
  <pageMargins left="0.75" right="0.75" top="1" bottom="1" header="0.5" footer="0.5"/>
  <pageSetup orientation="portrait" horizontalDpi="4294967292" vertic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P46"/>
  <sheetViews>
    <sheetView workbookViewId="0">
      <selection activeCell="G28" sqref="G28"/>
    </sheetView>
  </sheetViews>
  <sheetFormatPr defaultColWidth="11.44140625" defaultRowHeight="15"/>
  <cols>
    <col min="6" max="6" width="12" customWidth="1"/>
    <col min="7" max="7" width="11.44140625" customWidth="1"/>
  </cols>
  <sheetData>
    <row r="3" spans="1:16">
      <c r="A3" s="33" t="s">
        <v>117</v>
      </c>
    </row>
    <row r="4" spans="1:16">
      <c r="A4" s="30" t="s">
        <v>115</v>
      </c>
      <c r="B4" s="4"/>
      <c r="C4" s="4"/>
      <c r="D4" s="4"/>
      <c r="E4" s="4"/>
      <c r="F4" s="4"/>
      <c r="G4" s="4"/>
    </row>
    <row r="5" spans="1:16">
      <c r="A5" s="32">
        <v>43040</v>
      </c>
      <c r="B5" s="31"/>
      <c r="C5" s="74" t="s">
        <v>89</v>
      </c>
      <c r="D5" s="74"/>
      <c r="E5" s="31">
        <v>4</v>
      </c>
      <c r="F5" s="31" t="s">
        <v>90</v>
      </c>
      <c r="G5" s="31"/>
    </row>
    <row r="6" spans="1:16">
      <c r="B6" s="31"/>
      <c r="C6" s="31"/>
      <c r="D6" s="31"/>
      <c r="E6" s="31"/>
      <c r="F6" s="31"/>
      <c r="G6" s="31"/>
    </row>
    <row r="7" spans="1:16">
      <c r="B7" s="41" t="s">
        <v>93</v>
      </c>
      <c r="C7" s="36" t="s">
        <v>94</v>
      </c>
      <c r="D7" t="s">
        <v>122</v>
      </c>
      <c r="E7" s="31"/>
      <c r="F7" s="31"/>
      <c r="G7" s="31"/>
    </row>
    <row r="8" spans="1:16">
      <c r="B8" s="36"/>
      <c r="C8" s="36" t="s">
        <v>95</v>
      </c>
      <c r="D8" s="31" t="s">
        <v>118</v>
      </c>
      <c r="E8" s="31"/>
      <c r="F8" s="31"/>
      <c r="G8" s="31"/>
    </row>
    <row r="9" spans="1:16">
      <c r="B9" s="36"/>
      <c r="C9" s="36" t="s">
        <v>96</v>
      </c>
      <c r="D9" s="31" t="s">
        <v>120</v>
      </c>
      <c r="E9" s="31"/>
      <c r="F9" s="31"/>
      <c r="G9" s="31"/>
    </row>
    <row r="10" spans="1:16">
      <c r="B10" s="31"/>
      <c r="C10" s="31"/>
      <c r="D10" s="31"/>
      <c r="E10" s="31"/>
      <c r="F10" s="31"/>
      <c r="G10" s="31"/>
    </row>
    <row r="11" spans="1:16">
      <c r="A11" s="31"/>
      <c r="B11" s="31"/>
      <c r="C11" s="31"/>
      <c r="D11" s="31"/>
      <c r="E11" s="31"/>
      <c r="F11" s="31"/>
      <c r="G11" s="31"/>
      <c r="J11" t="s">
        <v>119</v>
      </c>
    </row>
    <row r="12" spans="1:16">
      <c r="A12" s="34"/>
      <c r="B12" s="34"/>
      <c r="C12" s="34" t="s">
        <v>6</v>
      </c>
      <c r="D12" s="34" t="s">
        <v>13</v>
      </c>
      <c r="E12" s="34" t="s">
        <v>14</v>
      </c>
      <c r="F12" s="34" t="s">
        <v>15</v>
      </c>
      <c r="G12" s="34" t="s">
        <v>85</v>
      </c>
      <c r="H12" s="34" t="s">
        <v>61</v>
      </c>
      <c r="I12" s="34" t="s">
        <v>86</v>
      </c>
      <c r="J12" s="34"/>
      <c r="K12" s="34" t="s">
        <v>87</v>
      </c>
      <c r="L12" s="34" t="s">
        <v>88</v>
      </c>
      <c r="M12" s="34" t="s">
        <v>87</v>
      </c>
      <c r="N12" s="34" t="s">
        <v>88</v>
      </c>
    </row>
    <row r="13" spans="1:16">
      <c r="A13" s="34" t="s">
        <v>10</v>
      </c>
      <c r="B13" s="34" t="s">
        <v>80</v>
      </c>
      <c r="C13" s="34" t="s">
        <v>75</v>
      </c>
      <c r="D13" s="34" t="s">
        <v>75</v>
      </c>
      <c r="E13" s="34" t="s">
        <v>75</v>
      </c>
      <c r="F13" s="34" t="s">
        <v>75</v>
      </c>
      <c r="G13" s="34" t="s">
        <v>82</v>
      </c>
      <c r="H13" s="34" t="s">
        <v>72</v>
      </c>
      <c r="I13" s="34" t="s">
        <v>83</v>
      </c>
      <c r="J13" s="34" t="s">
        <v>81</v>
      </c>
      <c r="K13" s="34" t="s">
        <v>83</v>
      </c>
      <c r="L13" s="34" t="s">
        <v>84</v>
      </c>
      <c r="M13" s="34" t="s">
        <v>83</v>
      </c>
      <c r="N13" s="34" t="s">
        <v>84</v>
      </c>
    </row>
    <row r="14" spans="1:16">
      <c r="A14" s="29">
        <v>1</v>
      </c>
      <c r="B14" s="35" t="s">
        <v>20</v>
      </c>
      <c r="C14" s="29">
        <v>25.143229999999999</v>
      </c>
      <c r="D14" s="29">
        <v>18.399999999999999</v>
      </c>
      <c r="E14" s="29">
        <v>31.88646</v>
      </c>
      <c r="F14" s="29">
        <f>E14-D14</f>
        <v>13.486460000000001</v>
      </c>
      <c r="G14" s="29">
        <v>10</v>
      </c>
      <c r="H14" s="29">
        <v>33.816407334099999</v>
      </c>
      <c r="I14" s="29">
        <v>42.147222763199998</v>
      </c>
      <c r="J14" s="28">
        <v>140</v>
      </c>
      <c r="K14" s="29">
        <f>I14/SQRT(J14)</f>
        <v>3.5620904643309061</v>
      </c>
      <c r="L14" s="29">
        <f t="shared" ref="L14:L21" si="0">K14*2.169*SQRT(2)/SQRT($E$5)</f>
        <v>5.4632301815639295</v>
      </c>
      <c r="M14" s="42">
        <v>3.7531347803700004</v>
      </c>
      <c r="N14" s="43">
        <v>5.7571321473700001</v>
      </c>
      <c r="O14" s="36"/>
      <c r="P14" s="38"/>
    </row>
    <row r="15" spans="1:16">
      <c r="A15" s="29">
        <v>2</v>
      </c>
      <c r="B15" s="35" t="s">
        <v>21</v>
      </c>
      <c r="C15" s="29">
        <v>45.097233618700002</v>
      </c>
      <c r="D15" s="29">
        <v>33.002486099999999</v>
      </c>
      <c r="E15" s="29">
        <v>57.191981137399999</v>
      </c>
      <c r="F15" s="29">
        <f t="shared" ref="F15:F21" si="1">E15-D15</f>
        <v>24.1894950374</v>
      </c>
      <c r="G15" s="29">
        <v>10</v>
      </c>
      <c r="H15" s="29">
        <v>18.853788561999998</v>
      </c>
      <c r="I15" s="29">
        <v>32.186533626600003</v>
      </c>
      <c r="J15" s="28">
        <v>260</v>
      </c>
      <c r="K15" s="29">
        <f t="shared" ref="K15:K21" si="2">I15/SQRT(J15)</f>
        <v>1.9961240778609823</v>
      </c>
      <c r="L15" s="29">
        <f t="shared" si="0"/>
        <v>3.0614846583816355</v>
      </c>
      <c r="M15" s="42">
        <v>2.0777959890300002</v>
      </c>
      <c r="N15" s="43">
        <v>3.1872412753899999</v>
      </c>
      <c r="O15" s="36"/>
      <c r="P15" s="38"/>
    </row>
    <row r="16" spans="1:16">
      <c r="A16" s="29">
        <v>3</v>
      </c>
      <c r="B16" s="35" t="s">
        <v>22</v>
      </c>
      <c r="C16" s="29">
        <v>80.887001393999995</v>
      </c>
      <c r="D16" s="29">
        <v>59.193700477199997</v>
      </c>
      <c r="E16" s="29">
        <v>102.580302311</v>
      </c>
      <c r="F16" s="29">
        <f t="shared" si="1"/>
        <v>43.3866018338</v>
      </c>
      <c r="G16" s="29">
        <v>10</v>
      </c>
      <c r="H16" s="29">
        <v>10.5116235331</v>
      </c>
      <c r="I16" s="29">
        <v>25.842206630100002</v>
      </c>
      <c r="J16" s="28">
        <v>970</v>
      </c>
      <c r="K16" s="29">
        <f t="shared" si="2"/>
        <v>0.82974324901835173</v>
      </c>
      <c r="L16" s="29">
        <f t="shared" si="0"/>
        <v>1.2725893422354326</v>
      </c>
      <c r="M16" s="42">
        <v>0.85099999999999998</v>
      </c>
      <c r="N16" s="43">
        <v>1.30540403455</v>
      </c>
      <c r="O16" s="36"/>
      <c r="P16" s="38"/>
    </row>
    <row r="17" spans="1:16">
      <c r="A17" s="29">
        <v>4</v>
      </c>
      <c r="B17" s="35" t="s">
        <v>23</v>
      </c>
      <c r="C17" s="29">
        <v>145.080007564</v>
      </c>
      <c r="D17" s="29">
        <v>106.17061289199999</v>
      </c>
      <c r="E17" s="29">
        <v>183.98940223599999</v>
      </c>
      <c r="F17" s="29">
        <f t="shared" si="1"/>
        <v>77.818789343999995</v>
      </c>
      <c r="G17" s="29">
        <v>10</v>
      </c>
      <c r="H17" s="29">
        <v>5.8605849396999998</v>
      </c>
      <c r="I17" s="29">
        <v>24.716640459099999</v>
      </c>
      <c r="J17" s="28">
        <v>1180</v>
      </c>
      <c r="K17" s="29">
        <f t="shared" si="2"/>
        <v>0.71952922202140479</v>
      </c>
      <c r="L17" s="29">
        <f t="shared" si="0"/>
        <v>1.1035524789803262</v>
      </c>
      <c r="M17" s="42">
        <v>0.72811960719699997</v>
      </c>
      <c r="N17" s="43">
        <v>1.11690121539</v>
      </c>
      <c r="O17" s="36"/>
      <c r="P17" s="38"/>
    </row>
    <row r="18" spans="1:16">
      <c r="A18" s="29">
        <v>5</v>
      </c>
      <c r="B18" s="35" t="s">
        <v>24</v>
      </c>
      <c r="C18" s="29">
        <v>260.21744201199999</v>
      </c>
      <c r="D18" s="29">
        <v>190.42903131400001</v>
      </c>
      <c r="E18" s="29">
        <v>330.00585270900001</v>
      </c>
      <c r="F18" s="29">
        <f t="shared" si="1"/>
        <v>139.576821395</v>
      </c>
      <c r="G18" s="29">
        <v>10</v>
      </c>
      <c r="H18" s="29">
        <v>3.2674739279999998</v>
      </c>
      <c r="I18" s="29">
        <v>41.853061490000002</v>
      </c>
      <c r="J18" s="28">
        <v>1400</v>
      </c>
      <c r="K18" s="29">
        <f t="shared" si="2"/>
        <v>1.1185701191654462</v>
      </c>
      <c r="L18" s="29">
        <f t="shared" si="0"/>
        <v>1.7155673322766392</v>
      </c>
      <c r="M18" s="42">
        <v>1.12323410871</v>
      </c>
      <c r="N18" s="43">
        <v>1.7230000000000001</v>
      </c>
      <c r="O18" s="36"/>
      <c r="P18" s="38"/>
    </row>
    <row r="19" spans="1:16">
      <c r="A19" s="29">
        <v>6</v>
      </c>
      <c r="B19" s="35" t="s">
        <v>25</v>
      </c>
      <c r="C19" s="29">
        <v>466.72948440099998</v>
      </c>
      <c r="D19" s="29">
        <v>341.55605755400001</v>
      </c>
      <c r="E19" s="29">
        <v>591.90291124700002</v>
      </c>
      <c r="F19" s="29">
        <f t="shared" si="1"/>
        <v>250.34685369300001</v>
      </c>
      <c r="G19" s="29">
        <v>10</v>
      </c>
      <c r="H19" s="29">
        <v>1.8217270084999999</v>
      </c>
      <c r="I19" s="29">
        <v>294.21379999999999</v>
      </c>
      <c r="J19" s="28">
        <v>1100</v>
      </c>
      <c r="K19" s="29">
        <f t="shared" si="2"/>
        <v>8.8708798431333218</v>
      </c>
      <c r="L19" s="29">
        <f t="shared" si="0"/>
        <v>13.605398004718095</v>
      </c>
      <c r="M19" s="42">
        <v>8.8859999999999992</v>
      </c>
      <c r="N19" s="43">
        <v>13.6307535787</v>
      </c>
      <c r="O19" s="36"/>
      <c r="P19" s="38"/>
    </row>
    <row r="20" spans="1:16">
      <c r="A20" s="29">
        <v>7</v>
      </c>
      <c r="B20" s="35" t="s">
        <v>26</v>
      </c>
      <c r="C20" s="29">
        <v>665.89077515300005</v>
      </c>
      <c r="D20" s="29">
        <v>612.61951314099997</v>
      </c>
      <c r="E20" s="29">
        <v>719.16203716500002</v>
      </c>
      <c r="F20" s="29">
        <f t="shared" si="1"/>
        <v>106.54252402400004</v>
      </c>
      <c r="G20" s="29">
        <v>10</v>
      </c>
      <c r="H20" s="29">
        <v>1.2768666259999999</v>
      </c>
      <c r="I20" s="29">
        <v>11443.01</v>
      </c>
      <c r="J20" s="28">
        <v>240</v>
      </c>
      <c r="K20" s="29">
        <f t="shared" si="2"/>
        <v>738.64311934141551</v>
      </c>
      <c r="L20" s="29">
        <f t="shared" si="0"/>
        <v>1132.8677425233623</v>
      </c>
      <c r="M20" s="42">
        <v>739.47649999999999</v>
      </c>
      <c r="N20" s="43">
        <v>1134.3220999999999</v>
      </c>
      <c r="O20" s="36"/>
      <c r="P20" s="38"/>
    </row>
    <row r="21" spans="1:16">
      <c r="A21" s="29">
        <v>8</v>
      </c>
      <c r="B21" s="35" t="s">
        <v>77</v>
      </c>
      <c r="C21" s="29">
        <v>809.05729181100003</v>
      </c>
      <c r="D21" s="29">
        <v>744.33270846599999</v>
      </c>
      <c r="E21" s="29">
        <v>873.78187515599996</v>
      </c>
      <c r="F21" s="29">
        <f t="shared" si="1"/>
        <v>129.44916668999997</v>
      </c>
      <c r="G21" s="29">
        <v>10</v>
      </c>
      <c r="H21" s="29">
        <v>1.0509190338000001</v>
      </c>
      <c r="I21" s="29">
        <v>88919.779399999999</v>
      </c>
      <c r="J21" s="28">
        <v>220</v>
      </c>
      <c r="K21" s="29">
        <f t="shared" si="2"/>
        <v>5994.9703041741823</v>
      </c>
      <c r="L21" s="29">
        <f t="shared" si="0"/>
        <v>9194.573532397897</v>
      </c>
      <c r="M21" s="42">
        <v>6000.3729000000003</v>
      </c>
      <c r="N21" s="43">
        <v>9204.2896999999994</v>
      </c>
      <c r="O21" s="36"/>
      <c r="P21" s="38"/>
    </row>
    <row r="22" spans="1:16">
      <c r="A22" s="28"/>
      <c r="B22" s="35"/>
      <c r="C22" s="29"/>
      <c r="G22" s="13"/>
      <c r="H22" s="29"/>
      <c r="I22" s="29"/>
      <c r="J22" s="28"/>
      <c r="K22" s="29"/>
      <c r="L22" s="29"/>
      <c r="M22" s="42"/>
      <c r="N22" s="43"/>
      <c r="O22" s="38"/>
      <c r="P22" s="38"/>
    </row>
    <row r="23" spans="1:16">
      <c r="I23" t="s">
        <v>123</v>
      </c>
      <c r="J23" s="17">
        <f>SUM(J14:J21)</f>
        <v>5510</v>
      </c>
      <c r="M23" s="37"/>
    </row>
    <row r="24" spans="1:16">
      <c r="A24" s="55"/>
      <c r="B24" s="55"/>
      <c r="C24" s="55"/>
      <c r="E24" s="36"/>
      <c r="F24" s="36"/>
      <c r="H24" s="36"/>
      <c r="I24" s="36"/>
      <c r="J24" s="37"/>
    </row>
    <row r="25" spans="1:16">
      <c r="A25" s="56"/>
      <c r="B25" s="4"/>
      <c r="C25" s="77"/>
      <c r="E25" s="36"/>
      <c r="F25" s="36"/>
      <c r="H25" s="36"/>
      <c r="I25" s="36"/>
      <c r="J25" s="37"/>
    </row>
    <row r="26" spans="1:16">
      <c r="A26" s="56"/>
      <c r="B26" s="4"/>
      <c r="C26" s="7"/>
      <c r="E26" s="36"/>
      <c r="F26" s="36"/>
      <c r="I26" s="36"/>
      <c r="J26" s="37"/>
      <c r="M26" s="36"/>
      <c r="N26" s="36"/>
    </row>
    <row r="27" spans="1:16">
      <c r="A27" s="56"/>
      <c r="B27" s="4"/>
      <c r="C27" s="7"/>
      <c r="E27" s="36"/>
      <c r="F27" s="36"/>
      <c r="H27" s="36"/>
      <c r="I27" s="36"/>
      <c r="J27" s="37"/>
      <c r="M27" s="36"/>
      <c r="N27" s="36"/>
    </row>
    <row r="28" spans="1:16">
      <c r="A28" s="56"/>
      <c r="B28" s="4"/>
      <c r="C28" s="7"/>
      <c r="E28" s="36"/>
      <c r="F28" s="36"/>
      <c r="H28" s="36"/>
      <c r="I28" s="36"/>
      <c r="J28" s="37"/>
      <c r="N28" s="36"/>
    </row>
    <row r="29" spans="1:16">
      <c r="A29" s="56"/>
      <c r="B29" s="4"/>
      <c r="C29" s="7"/>
      <c r="E29" s="36"/>
      <c r="F29" s="36"/>
      <c r="I29" s="36"/>
      <c r="J29" s="37"/>
      <c r="M29" s="36"/>
      <c r="N29" s="36"/>
    </row>
    <row r="30" spans="1:16">
      <c r="A30" s="56"/>
      <c r="B30" s="4"/>
      <c r="C30" s="7"/>
      <c r="E30" s="36"/>
      <c r="F30" s="36"/>
      <c r="H30" s="36"/>
      <c r="I30" s="36"/>
      <c r="J30" s="37"/>
      <c r="M30" s="36"/>
    </row>
    <row r="31" spans="1:16">
      <c r="A31" s="56"/>
      <c r="B31" s="4"/>
      <c r="C31" s="7"/>
      <c r="E31" s="36"/>
      <c r="F31" s="36"/>
      <c r="H31" s="36"/>
      <c r="I31" s="36"/>
      <c r="J31" s="37"/>
      <c r="N31" s="36"/>
    </row>
    <row r="32" spans="1:16">
      <c r="A32" s="56"/>
      <c r="B32" s="4"/>
      <c r="C32" s="7"/>
      <c r="E32" s="36"/>
      <c r="F32" s="36"/>
      <c r="H32" s="36"/>
      <c r="I32" s="36"/>
      <c r="J32" s="37"/>
    </row>
    <row r="33" spans="1:14">
      <c r="A33" s="56"/>
      <c r="B33" s="4"/>
      <c r="C33" s="7"/>
      <c r="E33" s="36"/>
      <c r="F33" s="36"/>
      <c r="H33" s="36"/>
      <c r="I33" s="36"/>
      <c r="J33" s="37"/>
    </row>
    <row r="34" spans="1:14">
      <c r="A34" s="56"/>
      <c r="B34" s="4"/>
      <c r="C34" s="7"/>
      <c r="E34" s="36"/>
      <c r="F34" s="36"/>
      <c r="H34" s="36"/>
      <c r="I34" s="36"/>
      <c r="J34" s="37"/>
      <c r="M34" s="36"/>
      <c r="N34" s="36"/>
    </row>
    <row r="35" spans="1:14">
      <c r="A35" s="56"/>
      <c r="B35" s="4"/>
      <c r="C35" s="7"/>
      <c r="E35" s="36"/>
      <c r="F35" s="36"/>
      <c r="H35" s="36"/>
      <c r="I35" s="36"/>
      <c r="J35" s="37"/>
      <c r="M35" s="36"/>
      <c r="N35" s="36"/>
    </row>
    <row r="36" spans="1:14">
      <c r="A36" s="56"/>
      <c r="B36" s="4"/>
      <c r="C36" s="7"/>
      <c r="E36" s="36"/>
      <c r="F36" s="36"/>
      <c r="H36" s="36"/>
      <c r="I36" s="36"/>
      <c r="J36" s="37"/>
      <c r="M36" s="36"/>
      <c r="N36" s="36"/>
    </row>
    <row r="37" spans="1:14">
      <c r="A37" s="56"/>
      <c r="B37" s="4"/>
      <c r="C37" s="7"/>
      <c r="E37" s="36"/>
      <c r="F37" s="36"/>
      <c r="H37" s="36"/>
      <c r="I37" s="36"/>
      <c r="J37" s="37"/>
      <c r="M37" s="36"/>
      <c r="N37" s="36"/>
    </row>
    <row r="38" spans="1:14">
      <c r="A38" s="56"/>
      <c r="B38" s="4"/>
      <c r="C38" s="7"/>
      <c r="E38" s="36"/>
      <c r="F38" s="36"/>
      <c r="H38" s="36"/>
      <c r="I38" s="36"/>
      <c r="J38" s="37"/>
      <c r="M38" s="36"/>
      <c r="N38" s="36"/>
    </row>
    <row r="39" spans="1:14">
      <c r="A39" s="56"/>
      <c r="B39" s="4"/>
      <c r="C39" s="7"/>
      <c r="E39" s="36"/>
      <c r="F39" s="36"/>
      <c r="H39" s="36"/>
      <c r="I39" s="36"/>
      <c r="J39" s="37"/>
      <c r="M39" s="36"/>
      <c r="N39" s="36"/>
    </row>
    <row r="40" spans="1:14">
      <c r="A40" s="56"/>
      <c r="B40" s="4"/>
      <c r="C40" s="7"/>
      <c r="E40" s="36"/>
      <c r="F40" s="36"/>
      <c r="H40" s="36"/>
      <c r="I40" s="36"/>
      <c r="J40" s="37"/>
      <c r="M40" s="36"/>
      <c r="N40" s="36"/>
    </row>
    <row r="41" spans="1:14">
      <c r="A41" s="56"/>
      <c r="B41" s="4"/>
      <c r="C41" s="7"/>
      <c r="E41" s="36"/>
      <c r="H41" s="36"/>
      <c r="I41" s="36"/>
      <c r="J41" s="37"/>
      <c r="M41" s="36"/>
      <c r="N41" s="36"/>
    </row>
    <row r="42" spans="1:14">
      <c r="A42" s="4"/>
      <c r="B42" s="4"/>
      <c r="C42" s="57"/>
      <c r="E42" s="36"/>
      <c r="I42" s="36"/>
      <c r="J42" s="37"/>
      <c r="M42" s="36"/>
      <c r="N42" s="36"/>
    </row>
    <row r="43" spans="1:14">
      <c r="A43" s="58"/>
      <c r="B43" s="31"/>
      <c r="C43" s="57"/>
      <c r="E43" s="36"/>
      <c r="J43" s="37"/>
      <c r="N43" s="36"/>
    </row>
    <row r="44" spans="1:14">
      <c r="A44" s="58"/>
      <c r="B44" s="31"/>
      <c r="C44" s="57"/>
      <c r="E44" s="36"/>
      <c r="J44" s="37"/>
      <c r="N44" s="36"/>
    </row>
    <row r="45" spans="1:14">
      <c r="A45" s="58"/>
      <c r="B45" s="31"/>
      <c r="C45" s="57"/>
    </row>
    <row r="46" spans="1:14">
      <c r="A46" s="4"/>
      <c r="B46" s="4"/>
      <c r="C46" s="4"/>
    </row>
  </sheetData>
  <mergeCells count="1">
    <mergeCell ref="C5:D5"/>
  </mergeCells>
  <pageMargins left="0.75" right="0.75" top="1" bottom="1" header="0.5" footer="0.5"/>
  <pageSetup orientation="portrait" horizontalDpi="4294967292" vertic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G64"/>
  <sheetViews>
    <sheetView workbookViewId="0">
      <selection activeCell="B22" sqref="B22"/>
    </sheetView>
  </sheetViews>
  <sheetFormatPr defaultColWidth="11.44140625" defaultRowHeight="15"/>
  <cols>
    <col min="9" max="9" width="2" customWidth="1"/>
    <col min="11" max="11" width="11.109375" customWidth="1"/>
  </cols>
  <sheetData>
    <row r="2" spans="1:6">
      <c r="A2" t="s">
        <v>0</v>
      </c>
    </row>
    <row r="3" spans="1:6">
      <c r="B3" t="s">
        <v>6</v>
      </c>
      <c r="C3" t="s">
        <v>2</v>
      </c>
      <c r="D3" t="s">
        <v>3</v>
      </c>
      <c r="E3" t="s">
        <v>4</v>
      </c>
      <c r="F3" t="s">
        <v>5</v>
      </c>
    </row>
    <row r="4" spans="1:6">
      <c r="A4">
        <v>1</v>
      </c>
      <c r="B4">
        <v>30</v>
      </c>
      <c r="C4">
        <f>B4-E4/2</f>
        <v>25.5</v>
      </c>
      <c r="D4">
        <f>B4+E4/2</f>
        <v>34.5</v>
      </c>
      <c r="E4">
        <f>F4*B4</f>
        <v>9</v>
      </c>
      <c r="F4">
        <f>0.3</f>
        <v>0.3</v>
      </c>
    </row>
    <row r="5" spans="1:6">
      <c r="A5">
        <v>2</v>
      </c>
      <c r="B5">
        <v>45</v>
      </c>
      <c r="C5">
        <f t="shared" ref="C5:C12" si="0">B5-E5/2</f>
        <v>38.25</v>
      </c>
      <c r="D5">
        <f t="shared" ref="D5:D12" si="1">B5+E5/2</f>
        <v>51.75</v>
      </c>
      <c r="E5">
        <f t="shared" ref="E5:E12" si="2">F5*B5</f>
        <v>13.5</v>
      </c>
      <c r="F5">
        <f t="shared" ref="F5:F12" si="3">0.3</f>
        <v>0.3</v>
      </c>
    </row>
    <row r="6" spans="1:6">
      <c r="A6">
        <v>3</v>
      </c>
      <c r="B6">
        <v>70</v>
      </c>
      <c r="C6">
        <f t="shared" si="0"/>
        <v>59.5</v>
      </c>
      <c r="D6">
        <f t="shared" si="1"/>
        <v>80.5</v>
      </c>
      <c r="E6">
        <f t="shared" si="2"/>
        <v>21</v>
      </c>
      <c r="F6">
        <f t="shared" si="3"/>
        <v>0.3</v>
      </c>
    </row>
    <row r="7" spans="1:6">
      <c r="A7">
        <v>4</v>
      </c>
      <c r="B7">
        <v>100</v>
      </c>
      <c r="C7">
        <f t="shared" si="0"/>
        <v>85</v>
      </c>
      <c r="D7">
        <f t="shared" si="1"/>
        <v>115</v>
      </c>
      <c r="E7">
        <f t="shared" si="2"/>
        <v>30</v>
      </c>
      <c r="F7">
        <f t="shared" si="3"/>
        <v>0.3</v>
      </c>
    </row>
    <row r="8" spans="1:6">
      <c r="A8">
        <v>5</v>
      </c>
      <c r="B8">
        <v>150</v>
      </c>
      <c r="C8">
        <f t="shared" si="0"/>
        <v>127.5</v>
      </c>
      <c r="D8">
        <f t="shared" si="1"/>
        <v>172.5</v>
      </c>
      <c r="E8">
        <f t="shared" si="2"/>
        <v>45</v>
      </c>
      <c r="F8">
        <f t="shared" si="3"/>
        <v>0.3</v>
      </c>
    </row>
    <row r="9" spans="1:6">
      <c r="A9">
        <v>6</v>
      </c>
      <c r="B9">
        <v>220</v>
      </c>
      <c r="C9">
        <f t="shared" si="0"/>
        <v>187</v>
      </c>
      <c r="D9">
        <f t="shared" si="1"/>
        <v>253</v>
      </c>
      <c r="E9">
        <f t="shared" si="2"/>
        <v>66</v>
      </c>
      <c r="F9">
        <f t="shared" si="3"/>
        <v>0.3</v>
      </c>
    </row>
    <row r="10" spans="1:6">
      <c r="A10">
        <v>7</v>
      </c>
      <c r="B10">
        <v>340</v>
      </c>
      <c r="C10">
        <f t="shared" si="0"/>
        <v>289</v>
      </c>
      <c r="D10">
        <f t="shared" si="1"/>
        <v>391</v>
      </c>
      <c r="E10">
        <f t="shared" si="2"/>
        <v>102</v>
      </c>
      <c r="F10">
        <f t="shared" si="3"/>
        <v>0.3</v>
      </c>
    </row>
    <row r="11" spans="1:6">
      <c r="A11">
        <v>8</v>
      </c>
      <c r="B11">
        <v>500</v>
      </c>
      <c r="C11">
        <f t="shared" si="0"/>
        <v>425</v>
      </c>
      <c r="D11">
        <f t="shared" si="1"/>
        <v>575</v>
      </c>
      <c r="E11">
        <f t="shared" si="2"/>
        <v>150</v>
      </c>
      <c r="F11">
        <f t="shared" si="3"/>
        <v>0.3</v>
      </c>
    </row>
    <row r="12" spans="1:6">
      <c r="A12">
        <v>9</v>
      </c>
      <c r="B12">
        <v>850</v>
      </c>
      <c r="C12">
        <f t="shared" si="0"/>
        <v>722.5</v>
      </c>
      <c r="D12">
        <f t="shared" si="1"/>
        <v>977.5</v>
      </c>
      <c r="E12">
        <f t="shared" si="2"/>
        <v>255</v>
      </c>
      <c r="F12">
        <f t="shared" si="3"/>
        <v>0.3</v>
      </c>
    </row>
    <row r="14" spans="1:6">
      <c r="A14" t="s">
        <v>1</v>
      </c>
    </row>
    <row r="15" spans="1:6">
      <c r="B15" t="s">
        <v>6</v>
      </c>
      <c r="C15" t="s">
        <v>2</v>
      </c>
      <c r="D15" t="s">
        <v>3</v>
      </c>
      <c r="E15" t="s">
        <v>4</v>
      </c>
      <c r="F15" t="s">
        <v>5</v>
      </c>
    </row>
    <row r="16" spans="1:6">
      <c r="A16">
        <v>1</v>
      </c>
      <c r="B16">
        <v>30</v>
      </c>
    </row>
    <row r="17" spans="1:6">
      <c r="A17">
        <v>2</v>
      </c>
      <c r="B17">
        <v>45</v>
      </c>
    </row>
    <row r="18" spans="1:6">
      <c r="A18">
        <v>3</v>
      </c>
      <c r="B18">
        <v>70</v>
      </c>
    </row>
    <row r="19" spans="1:6">
      <c r="A19">
        <v>4</v>
      </c>
      <c r="B19">
        <v>100</v>
      </c>
      <c r="C19">
        <v>84</v>
      </c>
      <c r="D19">
        <v>117</v>
      </c>
      <c r="E19">
        <v>33</v>
      </c>
      <c r="F19">
        <f t="shared" ref="F19:F24" si="4">E19/B19</f>
        <v>0.33</v>
      </c>
    </row>
    <row r="20" spans="1:6">
      <c r="A20">
        <v>5</v>
      </c>
      <c r="B20">
        <v>143</v>
      </c>
      <c r="C20">
        <v>120</v>
      </c>
      <c r="D20">
        <v>166</v>
      </c>
      <c r="E20">
        <v>46</v>
      </c>
      <c r="F20" s="1">
        <f t="shared" si="4"/>
        <v>0.32167832167832167</v>
      </c>
    </row>
    <row r="21" spans="1:6">
      <c r="A21">
        <v>6</v>
      </c>
      <c r="B21">
        <v>217</v>
      </c>
      <c r="C21">
        <v>189</v>
      </c>
      <c r="D21">
        <v>253</v>
      </c>
      <c r="E21">
        <v>64</v>
      </c>
      <c r="F21" s="1">
        <f t="shared" si="4"/>
        <v>0.29493087557603687</v>
      </c>
    </row>
    <row r="22" spans="1:6">
      <c r="A22">
        <v>7</v>
      </c>
      <c r="B22">
        <v>353</v>
      </c>
      <c r="C22">
        <v>306</v>
      </c>
      <c r="D22">
        <v>408</v>
      </c>
      <c r="E22">
        <v>101</v>
      </c>
      <c r="F22" s="1">
        <f t="shared" si="4"/>
        <v>0.28611898016997167</v>
      </c>
    </row>
    <row r="23" spans="1:6">
      <c r="A23">
        <v>8</v>
      </c>
      <c r="B23">
        <v>545</v>
      </c>
      <c r="C23">
        <v>469</v>
      </c>
      <c r="D23">
        <v>641</v>
      </c>
      <c r="E23">
        <v>171</v>
      </c>
      <c r="F23" s="1">
        <f t="shared" si="4"/>
        <v>0.31376146788990827</v>
      </c>
    </row>
    <row r="24" spans="1:6">
      <c r="A24">
        <v>9</v>
      </c>
      <c r="B24">
        <v>857</v>
      </c>
      <c r="C24">
        <v>744</v>
      </c>
      <c r="D24">
        <v>990</v>
      </c>
      <c r="E24">
        <v>246</v>
      </c>
      <c r="F24" s="1">
        <f t="shared" si="4"/>
        <v>0.28704784130688449</v>
      </c>
    </row>
    <row r="26" spans="1:6">
      <c r="A26" t="s">
        <v>8</v>
      </c>
    </row>
    <row r="27" spans="1:6">
      <c r="B27" t="s">
        <v>6</v>
      </c>
      <c r="C27" t="s">
        <v>2</v>
      </c>
      <c r="D27" t="s">
        <v>3</v>
      </c>
      <c r="E27" t="s">
        <v>4</v>
      </c>
      <c r="F27" t="s">
        <v>5</v>
      </c>
    </row>
    <row r="28" spans="1:6">
      <c r="A28">
        <v>1</v>
      </c>
      <c r="B28">
        <v>60</v>
      </c>
      <c r="C28">
        <f>B28-E28/2</f>
        <v>51</v>
      </c>
      <c r="D28">
        <f>B28+E28/2</f>
        <v>69</v>
      </c>
      <c r="E28">
        <f>F28*B28</f>
        <v>18</v>
      </c>
      <c r="F28">
        <f>0.3</f>
        <v>0.3</v>
      </c>
    </row>
    <row r="29" spans="1:6">
      <c r="A29">
        <v>2</v>
      </c>
      <c r="B29">
        <v>70</v>
      </c>
      <c r="C29">
        <f t="shared" ref="C29:C36" si="5">B29-E29/2</f>
        <v>59.5</v>
      </c>
      <c r="D29">
        <f t="shared" ref="D29:D36" si="6">B29+E29/2</f>
        <v>80.5</v>
      </c>
      <c r="E29">
        <f t="shared" ref="E29:E46" si="7">F29*B29</f>
        <v>21</v>
      </c>
      <c r="F29">
        <f t="shared" ref="F29:F46" si="8">0.3</f>
        <v>0.3</v>
      </c>
    </row>
    <row r="30" spans="1:6">
      <c r="A30">
        <v>3</v>
      </c>
      <c r="B30">
        <v>80</v>
      </c>
      <c r="C30">
        <f t="shared" si="5"/>
        <v>68</v>
      </c>
      <c r="D30">
        <f t="shared" si="6"/>
        <v>92</v>
      </c>
      <c r="E30">
        <f t="shared" si="7"/>
        <v>24</v>
      </c>
      <c r="F30">
        <f t="shared" si="8"/>
        <v>0.3</v>
      </c>
    </row>
    <row r="31" spans="1:6">
      <c r="A31">
        <v>4</v>
      </c>
      <c r="B31">
        <v>90</v>
      </c>
      <c r="C31">
        <f t="shared" si="5"/>
        <v>76.5</v>
      </c>
      <c r="D31">
        <f t="shared" si="6"/>
        <v>103.5</v>
      </c>
      <c r="E31">
        <f t="shared" si="7"/>
        <v>27</v>
      </c>
      <c r="F31">
        <f t="shared" si="8"/>
        <v>0.3</v>
      </c>
    </row>
    <row r="32" spans="1:6">
      <c r="A32">
        <v>5</v>
      </c>
      <c r="B32">
        <v>100</v>
      </c>
      <c r="C32">
        <f t="shared" si="5"/>
        <v>85</v>
      </c>
      <c r="D32">
        <f t="shared" si="6"/>
        <v>115</v>
      </c>
      <c r="E32">
        <f t="shared" si="7"/>
        <v>30</v>
      </c>
      <c r="F32">
        <f t="shared" si="8"/>
        <v>0.3</v>
      </c>
    </row>
    <row r="33" spans="1:6">
      <c r="A33">
        <v>6</v>
      </c>
      <c r="B33">
        <v>115</v>
      </c>
      <c r="C33">
        <f t="shared" si="5"/>
        <v>97.75</v>
      </c>
      <c r="D33">
        <f t="shared" si="6"/>
        <v>132.25</v>
      </c>
      <c r="E33">
        <f t="shared" si="7"/>
        <v>34.5</v>
      </c>
      <c r="F33">
        <f t="shared" si="8"/>
        <v>0.3</v>
      </c>
    </row>
    <row r="34" spans="1:6">
      <c r="A34">
        <v>7</v>
      </c>
      <c r="B34">
        <v>130</v>
      </c>
      <c r="C34">
        <f t="shared" si="5"/>
        <v>110.5</v>
      </c>
      <c r="D34">
        <f t="shared" si="6"/>
        <v>149.5</v>
      </c>
      <c r="E34">
        <f t="shared" si="7"/>
        <v>39</v>
      </c>
      <c r="F34">
        <f t="shared" si="8"/>
        <v>0.3</v>
      </c>
    </row>
    <row r="35" spans="1:6">
      <c r="A35">
        <v>8</v>
      </c>
      <c r="B35">
        <v>145</v>
      </c>
      <c r="C35">
        <f t="shared" si="5"/>
        <v>123.25</v>
      </c>
      <c r="D35">
        <f t="shared" si="6"/>
        <v>166.75</v>
      </c>
      <c r="E35">
        <f t="shared" si="7"/>
        <v>43.5</v>
      </c>
      <c r="F35">
        <f t="shared" si="8"/>
        <v>0.3</v>
      </c>
    </row>
    <row r="36" spans="1:6">
      <c r="A36">
        <v>9</v>
      </c>
      <c r="B36">
        <v>160</v>
      </c>
      <c r="C36">
        <f t="shared" si="5"/>
        <v>136</v>
      </c>
      <c r="D36">
        <f t="shared" si="6"/>
        <v>184</v>
      </c>
      <c r="E36">
        <f t="shared" si="7"/>
        <v>48</v>
      </c>
      <c r="F36">
        <f t="shared" si="8"/>
        <v>0.3</v>
      </c>
    </row>
    <row r="37" spans="1:6">
      <c r="A37">
        <v>10</v>
      </c>
      <c r="B37">
        <v>175</v>
      </c>
      <c r="C37">
        <f t="shared" ref="C37:C46" si="9">B37-E37/2</f>
        <v>148.75</v>
      </c>
      <c r="D37">
        <f t="shared" ref="D37:D46" si="10">B37+E37/2</f>
        <v>201.25</v>
      </c>
      <c r="E37">
        <f t="shared" si="7"/>
        <v>52.5</v>
      </c>
      <c r="F37">
        <f t="shared" si="8"/>
        <v>0.3</v>
      </c>
    </row>
    <row r="38" spans="1:6">
      <c r="A38">
        <v>11</v>
      </c>
      <c r="B38">
        <v>195</v>
      </c>
      <c r="C38">
        <f t="shared" si="9"/>
        <v>165.75</v>
      </c>
      <c r="D38">
        <f t="shared" si="10"/>
        <v>224.25</v>
      </c>
      <c r="E38">
        <f t="shared" si="7"/>
        <v>58.5</v>
      </c>
      <c r="F38">
        <f t="shared" si="8"/>
        <v>0.3</v>
      </c>
    </row>
    <row r="39" spans="1:6">
      <c r="A39">
        <v>12</v>
      </c>
      <c r="B39">
        <v>220</v>
      </c>
      <c r="C39">
        <f t="shared" si="9"/>
        <v>187</v>
      </c>
      <c r="D39">
        <f t="shared" si="10"/>
        <v>253</v>
      </c>
      <c r="E39">
        <f t="shared" si="7"/>
        <v>66</v>
      </c>
      <c r="F39">
        <f t="shared" si="8"/>
        <v>0.3</v>
      </c>
    </row>
    <row r="40" spans="1:6">
      <c r="A40">
        <v>13</v>
      </c>
      <c r="B40">
        <v>255</v>
      </c>
      <c r="C40">
        <f t="shared" si="9"/>
        <v>216.75</v>
      </c>
      <c r="D40">
        <f t="shared" si="10"/>
        <v>293.25</v>
      </c>
      <c r="E40">
        <f t="shared" si="7"/>
        <v>76.5</v>
      </c>
      <c r="F40">
        <f t="shared" si="8"/>
        <v>0.3</v>
      </c>
    </row>
    <row r="41" spans="1:6">
      <c r="A41">
        <v>14</v>
      </c>
      <c r="B41">
        <v>295</v>
      </c>
      <c r="C41">
        <f t="shared" si="9"/>
        <v>250.75</v>
      </c>
      <c r="D41">
        <f t="shared" si="10"/>
        <v>339.25</v>
      </c>
      <c r="E41">
        <f t="shared" si="7"/>
        <v>88.5</v>
      </c>
      <c r="F41">
        <f t="shared" si="8"/>
        <v>0.3</v>
      </c>
    </row>
    <row r="42" spans="1:6">
      <c r="A42">
        <v>15</v>
      </c>
      <c r="B42">
        <v>340</v>
      </c>
      <c r="C42">
        <f t="shared" si="9"/>
        <v>289</v>
      </c>
      <c r="D42">
        <f t="shared" si="10"/>
        <v>391</v>
      </c>
      <c r="E42">
        <f t="shared" si="7"/>
        <v>102</v>
      </c>
      <c r="F42">
        <f t="shared" si="8"/>
        <v>0.3</v>
      </c>
    </row>
    <row r="43" spans="1:6">
      <c r="A43">
        <v>16</v>
      </c>
      <c r="B43">
        <v>390</v>
      </c>
      <c r="C43">
        <f t="shared" si="9"/>
        <v>331.5</v>
      </c>
      <c r="D43">
        <f t="shared" si="10"/>
        <v>448.5</v>
      </c>
      <c r="E43">
        <f t="shared" si="7"/>
        <v>117</v>
      </c>
      <c r="F43">
        <f t="shared" si="8"/>
        <v>0.3</v>
      </c>
    </row>
    <row r="44" spans="1:6">
      <c r="A44">
        <v>17</v>
      </c>
      <c r="B44">
        <v>450</v>
      </c>
      <c r="C44">
        <f t="shared" si="9"/>
        <v>382.5</v>
      </c>
      <c r="D44">
        <f t="shared" si="10"/>
        <v>517.5</v>
      </c>
      <c r="E44">
        <f t="shared" si="7"/>
        <v>135</v>
      </c>
      <c r="F44">
        <f t="shared" si="8"/>
        <v>0.3</v>
      </c>
    </row>
    <row r="45" spans="1:6">
      <c r="A45">
        <v>18</v>
      </c>
      <c r="B45">
        <v>520</v>
      </c>
      <c r="C45">
        <f t="shared" si="9"/>
        <v>442</v>
      </c>
      <c r="D45">
        <f t="shared" si="10"/>
        <v>598</v>
      </c>
      <c r="E45">
        <f t="shared" si="7"/>
        <v>156</v>
      </c>
      <c r="F45">
        <f t="shared" si="8"/>
        <v>0.3</v>
      </c>
    </row>
    <row r="46" spans="1:6">
      <c r="A46">
        <v>19</v>
      </c>
      <c r="B46">
        <v>600</v>
      </c>
      <c r="C46">
        <f t="shared" si="9"/>
        <v>510</v>
      </c>
      <c r="D46">
        <f t="shared" si="10"/>
        <v>690</v>
      </c>
      <c r="E46">
        <f t="shared" si="7"/>
        <v>180</v>
      </c>
      <c r="F46">
        <f t="shared" si="8"/>
        <v>0.3</v>
      </c>
    </row>
    <row r="48" spans="1:6">
      <c r="A48" t="s">
        <v>9</v>
      </c>
    </row>
    <row r="49" spans="1:7">
      <c r="B49" t="s">
        <v>6</v>
      </c>
      <c r="C49" t="s">
        <v>2</v>
      </c>
      <c r="D49" t="s">
        <v>3</v>
      </c>
      <c r="E49" t="s">
        <v>4</v>
      </c>
      <c r="F49" t="s">
        <v>5</v>
      </c>
      <c r="G49" t="s">
        <v>7</v>
      </c>
    </row>
    <row r="50" spans="1:7">
      <c r="A50">
        <v>1</v>
      </c>
      <c r="B50">
        <v>40</v>
      </c>
      <c r="C50">
        <f>B50-E50/2</f>
        <v>34</v>
      </c>
      <c r="D50">
        <f>B50+E50/2</f>
        <v>46</v>
      </c>
      <c r="E50">
        <f>F50*B50</f>
        <v>12</v>
      </c>
      <c r="F50">
        <f>0.3</f>
        <v>0.3</v>
      </c>
      <c r="G50">
        <v>17.7</v>
      </c>
    </row>
    <row r="51" spans="1:7">
      <c r="A51">
        <v>2</v>
      </c>
      <c r="B51">
        <v>50</v>
      </c>
      <c r="C51">
        <f t="shared" ref="C51:C64" si="11">B51-E51/2</f>
        <v>42.5</v>
      </c>
      <c r="D51">
        <f t="shared" ref="D51:D64" si="12">B51+E51/2</f>
        <v>57.5</v>
      </c>
      <c r="E51">
        <f t="shared" ref="E51:E64" si="13">F51*B51</f>
        <v>15</v>
      </c>
      <c r="F51">
        <f t="shared" ref="F51:F63" si="14">0.3</f>
        <v>0.3</v>
      </c>
      <c r="G51">
        <v>11.3</v>
      </c>
    </row>
    <row r="52" spans="1:7">
      <c r="A52">
        <v>3</v>
      </c>
      <c r="B52">
        <v>60</v>
      </c>
      <c r="C52">
        <f t="shared" si="11"/>
        <v>53.1</v>
      </c>
      <c r="D52">
        <f t="shared" si="12"/>
        <v>66.900000000000006</v>
      </c>
      <c r="E52">
        <f t="shared" si="13"/>
        <v>13.8</v>
      </c>
      <c r="F52">
        <v>0.23</v>
      </c>
      <c r="G52">
        <v>9.4</v>
      </c>
    </row>
    <row r="53" spans="1:7">
      <c r="A53">
        <v>4</v>
      </c>
      <c r="B53">
        <v>68</v>
      </c>
      <c r="C53">
        <f t="shared" si="11"/>
        <v>60.18</v>
      </c>
      <c r="D53">
        <f t="shared" si="12"/>
        <v>75.819999999999993</v>
      </c>
      <c r="E53">
        <f t="shared" si="13"/>
        <v>15.64</v>
      </c>
      <c r="F53">
        <v>0.23</v>
      </c>
      <c r="G53">
        <v>7.6</v>
      </c>
    </row>
    <row r="54" spans="1:7">
      <c r="A54">
        <v>5</v>
      </c>
      <c r="B54">
        <v>78</v>
      </c>
      <c r="C54">
        <f t="shared" si="11"/>
        <v>69.03</v>
      </c>
      <c r="D54">
        <f t="shared" si="12"/>
        <v>86.97</v>
      </c>
      <c r="E54">
        <f t="shared" si="13"/>
        <v>17.940000000000001</v>
      </c>
      <c r="F54">
        <v>0.23</v>
      </c>
      <c r="G54">
        <v>6.4</v>
      </c>
    </row>
    <row r="55" spans="1:7">
      <c r="A55">
        <v>6</v>
      </c>
      <c r="B55">
        <v>89</v>
      </c>
      <c r="C55">
        <f t="shared" si="11"/>
        <v>78.765000000000001</v>
      </c>
      <c r="D55">
        <f t="shared" si="12"/>
        <v>99.234999999999999</v>
      </c>
      <c r="E55">
        <f t="shared" si="13"/>
        <v>20.470000000000002</v>
      </c>
      <c r="F55">
        <v>0.23</v>
      </c>
      <c r="G55">
        <v>5.5</v>
      </c>
    </row>
    <row r="56" spans="1:7">
      <c r="A56">
        <v>7</v>
      </c>
      <c r="B56">
        <v>100</v>
      </c>
      <c r="C56">
        <f t="shared" si="11"/>
        <v>88.5</v>
      </c>
      <c r="D56">
        <f t="shared" si="12"/>
        <v>111.5</v>
      </c>
      <c r="E56">
        <f t="shared" si="13"/>
        <v>23</v>
      </c>
      <c r="F56">
        <v>0.23</v>
      </c>
      <c r="G56">
        <v>4.3</v>
      </c>
    </row>
    <row r="57" spans="1:7">
      <c r="A57">
        <v>8</v>
      </c>
      <c r="B57">
        <v>119</v>
      </c>
      <c r="C57">
        <f t="shared" si="11"/>
        <v>101.15</v>
      </c>
      <c r="D57">
        <f t="shared" si="12"/>
        <v>136.85</v>
      </c>
      <c r="E57">
        <f t="shared" si="13"/>
        <v>35.699999999999996</v>
      </c>
      <c r="F57">
        <f t="shared" si="14"/>
        <v>0.3</v>
      </c>
      <c r="G57">
        <v>3.6</v>
      </c>
    </row>
    <row r="58" spans="1:7">
      <c r="A58">
        <v>9</v>
      </c>
      <c r="B58">
        <v>140</v>
      </c>
      <c r="C58">
        <f t="shared" si="11"/>
        <v>119</v>
      </c>
      <c r="D58">
        <f t="shared" si="12"/>
        <v>161</v>
      </c>
      <c r="E58">
        <f t="shared" si="13"/>
        <v>42</v>
      </c>
      <c r="F58">
        <f t="shared" si="14"/>
        <v>0.3</v>
      </c>
      <c r="G58">
        <v>2.8</v>
      </c>
    </row>
    <row r="59" spans="1:7">
      <c r="A59">
        <v>10</v>
      </c>
      <c r="B59">
        <v>166</v>
      </c>
      <c r="C59">
        <f t="shared" si="11"/>
        <v>141.1</v>
      </c>
      <c r="D59">
        <f t="shared" si="12"/>
        <v>190.9</v>
      </c>
      <c r="E59">
        <f t="shared" si="13"/>
        <v>49.8</v>
      </c>
      <c r="F59">
        <f t="shared" si="14"/>
        <v>0.3</v>
      </c>
      <c r="G59">
        <v>3</v>
      </c>
    </row>
    <row r="60" spans="1:7">
      <c r="A60">
        <v>11</v>
      </c>
      <c r="B60">
        <v>195</v>
      </c>
      <c r="C60">
        <f t="shared" si="11"/>
        <v>165.75</v>
      </c>
      <c r="D60">
        <f t="shared" si="12"/>
        <v>224.25</v>
      </c>
      <c r="E60">
        <f t="shared" si="13"/>
        <v>58.5</v>
      </c>
      <c r="F60">
        <f t="shared" si="14"/>
        <v>0.3</v>
      </c>
      <c r="G60">
        <v>2.7</v>
      </c>
    </row>
    <row r="61" spans="1:7">
      <c r="A61">
        <v>12</v>
      </c>
      <c r="B61">
        <v>235</v>
      </c>
      <c r="C61">
        <f t="shared" si="11"/>
        <v>199.75</v>
      </c>
      <c r="D61">
        <f t="shared" si="12"/>
        <v>270.25</v>
      </c>
      <c r="E61">
        <f t="shared" si="13"/>
        <v>70.5</v>
      </c>
      <c r="F61">
        <f t="shared" si="14"/>
        <v>0.3</v>
      </c>
      <c r="G61">
        <v>3.6</v>
      </c>
    </row>
    <row r="62" spans="1:7">
      <c r="A62">
        <v>13</v>
      </c>
      <c r="B62">
        <v>280</v>
      </c>
      <c r="C62">
        <f t="shared" si="11"/>
        <v>238</v>
      </c>
      <c r="D62">
        <f t="shared" si="12"/>
        <v>322</v>
      </c>
      <c r="E62">
        <f t="shared" si="13"/>
        <v>84</v>
      </c>
      <c r="F62">
        <f t="shared" si="14"/>
        <v>0.3</v>
      </c>
      <c r="G62">
        <v>6.2</v>
      </c>
    </row>
    <row r="63" spans="1:7">
      <c r="A63">
        <v>14</v>
      </c>
      <c r="B63">
        <v>337</v>
      </c>
      <c r="C63">
        <f t="shared" si="11"/>
        <v>286.45</v>
      </c>
      <c r="D63">
        <f t="shared" si="12"/>
        <v>387.55</v>
      </c>
      <c r="E63">
        <f t="shared" si="13"/>
        <v>101.1</v>
      </c>
      <c r="F63">
        <f t="shared" si="14"/>
        <v>0.3</v>
      </c>
      <c r="G63">
        <v>9.1999999999999993</v>
      </c>
    </row>
    <row r="64" spans="1:7">
      <c r="A64">
        <v>15</v>
      </c>
      <c r="B64">
        <v>402</v>
      </c>
      <c r="C64">
        <f t="shared" si="11"/>
        <v>355.77</v>
      </c>
      <c r="D64">
        <f t="shared" si="12"/>
        <v>448.23</v>
      </c>
      <c r="E64">
        <f t="shared" si="13"/>
        <v>92.460000000000008</v>
      </c>
      <c r="F64">
        <v>0.23</v>
      </c>
      <c r="G64">
        <v>17.7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dimension ref="A1:AP136"/>
  <sheetViews>
    <sheetView topLeftCell="Z64" zoomScale="85" zoomScaleNormal="85" zoomScalePageLayoutView="80" workbookViewId="0">
      <selection activeCell="AL72" sqref="AL72"/>
    </sheetView>
  </sheetViews>
  <sheetFormatPr defaultColWidth="11.44140625" defaultRowHeight="15"/>
  <cols>
    <col min="7" max="7" width="0.77734375" customWidth="1"/>
    <col min="14" max="14" width="1.109375" customWidth="1"/>
    <col min="17" max="17" width="11.77734375" bestFit="1" customWidth="1"/>
    <col min="21" max="21" width="1.44140625" customWidth="1"/>
    <col min="25" max="25" width="17.6640625" customWidth="1"/>
  </cols>
  <sheetData>
    <row r="1" spans="1:40">
      <c r="A1" s="76" t="s">
        <v>69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12"/>
      <c r="O1" s="76" t="s">
        <v>67</v>
      </c>
      <c r="P1" s="76"/>
      <c r="Q1" s="76"/>
      <c r="R1" s="76"/>
      <c r="S1" s="76"/>
      <c r="T1" s="76"/>
      <c r="U1" s="16"/>
      <c r="V1" s="76" t="s">
        <v>92</v>
      </c>
      <c r="W1" s="76"/>
      <c r="X1" s="76"/>
      <c r="Y1" s="16"/>
      <c r="Z1" s="16"/>
      <c r="AA1" s="16" t="s">
        <v>91</v>
      </c>
      <c r="AF1" s="16" t="s">
        <v>98</v>
      </c>
      <c r="AL1" s="16" t="s">
        <v>99</v>
      </c>
    </row>
    <row r="2" spans="1:40">
      <c r="A2" s="76" t="s">
        <v>65</v>
      </c>
      <c r="B2" s="76"/>
      <c r="C2" s="76"/>
      <c r="D2" s="76"/>
      <c r="E2" s="76"/>
      <c r="F2" s="2"/>
      <c r="H2" s="76" t="s">
        <v>66</v>
      </c>
      <c r="I2" s="76"/>
      <c r="J2" s="76"/>
      <c r="K2" s="76"/>
      <c r="L2" s="76"/>
      <c r="M2" s="76"/>
      <c r="O2" s="76" t="s">
        <v>66</v>
      </c>
      <c r="P2" s="76"/>
      <c r="Q2" s="76"/>
      <c r="R2" s="76"/>
      <c r="S2" s="76"/>
      <c r="T2" s="76"/>
      <c r="AL2" t="s">
        <v>100</v>
      </c>
    </row>
    <row r="3" spans="1:40">
      <c r="A3" t="s">
        <v>6</v>
      </c>
      <c r="B3" t="s">
        <v>47</v>
      </c>
      <c r="C3" t="s">
        <v>48</v>
      </c>
      <c r="D3" s="75" t="s">
        <v>49</v>
      </c>
      <c r="E3" s="75"/>
      <c r="F3" s="2" t="s">
        <v>68</v>
      </c>
      <c r="H3" t="s">
        <v>6</v>
      </c>
      <c r="I3" t="s">
        <v>47</v>
      </c>
      <c r="J3" t="s">
        <v>48</v>
      </c>
      <c r="K3" s="75" t="s">
        <v>49</v>
      </c>
      <c r="L3" s="75"/>
      <c r="M3" t="s">
        <v>68</v>
      </c>
      <c r="O3" t="s">
        <v>6</v>
      </c>
      <c r="P3" t="s">
        <v>47</v>
      </c>
      <c r="Q3" t="s">
        <v>48</v>
      </c>
      <c r="R3" s="75" t="s">
        <v>49</v>
      </c>
      <c r="S3" s="75"/>
      <c r="T3" t="s">
        <v>68</v>
      </c>
      <c r="V3" t="s">
        <v>6</v>
      </c>
      <c r="W3" t="s">
        <v>61</v>
      </c>
      <c r="X3" t="s">
        <v>68</v>
      </c>
      <c r="Y3" s="19" t="s">
        <v>74</v>
      </c>
      <c r="AA3" t="s">
        <v>6</v>
      </c>
      <c r="AB3" t="s">
        <v>61</v>
      </c>
      <c r="AC3" t="s">
        <v>68</v>
      </c>
      <c r="AF3" t="s">
        <v>61</v>
      </c>
      <c r="AH3" t="s">
        <v>68</v>
      </c>
      <c r="AI3" s="75" t="s">
        <v>97</v>
      </c>
      <c r="AJ3" s="75"/>
      <c r="AL3" t="s">
        <v>61</v>
      </c>
      <c r="AN3" t="s">
        <v>68</v>
      </c>
    </row>
    <row r="4" spans="1:40">
      <c r="D4" t="s">
        <v>50</v>
      </c>
      <c r="E4" t="s">
        <v>51</v>
      </c>
      <c r="F4" t="s">
        <v>52</v>
      </c>
      <c r="K4" t="s">
        <v>50</v>
      </c>
      <c r="L4" t="s">
        <v>51</v>
      </c>
      <c r="M4" t="s">
        <v>52</v>
      </c>
      <c r="R4" t="s">
        <v>50</v>
      </c>
      <c r="S4" t="s">
        <v>51</v>
      </c>
      <c r="T4" t="s">
        <v>52</v>
      </c>
      <c r="V4" t="s">
        <v>12</v>
      </c>
      <c r="W4" t="s">
        <v>72</v>
      </c>
      <c r="X4" t="s">
        <v>73</v>
      </c>
      <c r="AA4" t="s">
        <v>12</v>
      </c>
      <c r="AB4" t="s">
        <v>72</v>
      </c>
      <c r="AC4" t="s">
        <v>73</v>
      </c>
      <c r="AF4" t="s">
        <v>72</v>
      </c>
      <c r="AH4" t="s">
        <v>73</v>
      </c>
      <c r="AL4" t="s">
        <v>72</v>
      </c>
      <c r="AN4" t="s">
        <v>73</v>
      </c>
    </row>
    <row r="5" spans="1:40">
      <c r="A5">
        <v>30</v>
      </c>
      <c r="B5">
        <v>28</v>
      </c>
      <c r="C5">
        <v>84</v>
      </c>
      <c r="D5">
        <v>84</v>
      </c>
      <c r="E5" s="13">
        <f>D5/SQRT(C5)</f>
        <v>9.1651513899116797</v>
      </c>
      <c r="F5" s="13">
        <f>E5*2.17*SQRT(2)/SQRT($B$15)</f>
        <v>14.063207315545055</v>
      </c>
      <c r="H5">
        <v>30</v>
      </c>
      <c r="I5">
        <v>28</v>
      </c>
      <c r="J5">
        <v>24</v>
      </c>
      <c r="K5">
        <v>83</v>
      </c>
      <c r="L5" s="13">
        <f>K5/SQRT(J5)</f>
        <v>16.942304054250318</v>
      </c>
      <c r="M5" s="13">
        <f>L5*2.17*SQRT(2)/SQRT($I$15)</f>
        <v>25.996639245935881</v>
      </c>
      <c r="O5">
        <v>30</v>
      </c>
      <c r="P5">
        <v>28</v>
      </c>
      <c r="Q5" s="17">
        <f>C5/2.6</f>
        <v>32.307692307692307</v>
      </c>
      <c r="R5">
        <v>83</v>
      </c>
      <c r="S5" s="13">
        <f>R5/SQRT(Q5)</f>
        <v>14.602429673891683</v>
      </c>
      <c r="T5" s="13">
        <f>S5*2.17*SQRT(2)/SQRT($P$15)</f>
        <v>22.40628518593239</v>
      </c>
      <c r="V5">
        <v>21</v>
      </c>
      <c r="W5" s="13">
        <f>W6*(V6/V5)</f>
        <v>40.571428571428569</v>
      </c>
      <c r="X5">
        <v>50</v>
      </c>
      <c r="Y5" s="20" t="s">
        <v>37</v>
      </c>
      <c r="AA5">
        <v>21</v>
      </c>
      <c r="AB5" s="13">
        <f>NominalSet!I11</f>
        <v>40.8775820854</v>
      </c>
      <c r="AC5" s="13">
        <f>NominalSet!J11</f>
        <v>14.147812456400001</v>
      </c>
      <c r="AF5" s="13">
        <v>38.3964721161</v>
      </c>
      <c r="AG5" s="36">
        <v>1.35306716175E-5</v>
      </c>
      <c r="AH5" s="13">
        <f>AG5*1000000</f>
        <v>13.530671617499999</v>
      </c>
      <c r="AI5" s="13">
        <f>AJ5*1000000</f>
        <v>17.371102716300001</v>
      </c>
      <c r="AJ5" s="36">
        <v>1.7371102716300001E-5</v>
      </c>
      <c r="AL5" s="13">
        <v>40.8775820854</v>
      </c>
      <c r="AM5" s="36">
        <v>1.03687221836E-5</v>
      </c>
      <c r="AN5" s="13">
        <f>AM5*1000000</f>
        <v>10.368722183599999</v>
      </c>
    </row>
    <row r="6" spans="1:40">
      <c r="A6">
        <v>45</v>
      </c>
      <c r="B6">
        <v>19</v>
      </c>
      <c r="C6">
        <v>364</v>
      </c>
      <c r="D6">
        <v>71</v>
      </c>
      <c r="E6" s="13">
        <f t="shared" ref="E6:E13" si="0">D6/SQRT(C6)</f>
        <v>3.7214111703628099</v>
      </c>
      <c r="F6" s="13">
        <f t="shared" ref="F6:F13" si="1">E6*2.17*SQRT(2)/SQRT($B$15)</f>
        <v>5.7102141108987929</v>
      </c>
      <c r="H6">
        <v>45</v>
      </c>
      <c r="I6">
        <v>19</v>
      </c>
      <c r="J6">
        <v>84</v>
      </c>
      <c r="K6">
        <v>70</v>
      </c>
      <c r="L6" s="13">
        <f t="shared" ref="L6:L13" si="2">K6/SQRT(J6)</f>
        <v>7.6376261582597333</v>
      </c>
      <c r="M6" s="13">
        <f t="shared" ref="M6:M13" si="3">L6*2.17*SQRT(2)/SQRT($I$15)</f>
        <v>11.719339429620881</v>
      </c>
      <c r="O6">
        <v>45</v>
      </c>
      <c r="P6">
        <v>19</v>
      </c>
      <c r="Q6" s="17">
        <f t="shared" ref="Q6:Q13" si="4">C6/2.6</f>
        <v>140</v>
      </c>
      <c r="R6">
        <v>70</v>
      </c>
      <c r="S6" s="13">
        <f t="shared" ref="S6:S13" si="5">R6/SQRT(Q6)</f>
        <v>5.9160797830996161</v>
      </c>
      <c r="T6" s="13">
        <f t="shared" ref="T6:T13" si="6">S6*2.17*SQRT(2)/SQRT($P$15)</f>
        <v>9.0777612878947203</v>
      </c>
      <c r="V6">
        <v>25</v>
      </c>
      <c r="W6" s="13">
        <f>W7*(V7/V6)</f>
        <v>34.08</v>
      </c>
      <c r="X6">
        <v>33</v>
      </c>
      <c r="AA6">
        <v>25</v>
      </c>
      <c r="AB6" s="13">
        <f>NominalSet!I12</f>
        <v>34.010148295</v>
      </c>
      <c r="AC6" s="13">
        <f>NominalSet!J12</f>
        <v>8.8050560751499987</v>
      </c>
      <c r="AF6" s="13">
        <v>31.9519944796</v>
      </c>
      <c r="AG6" s="36">
        <v>8.7763345408800008E-6</v>
      </c>
      <c r="AH6" s="13">
        <f t="shared" ref="AH6:AH25" si="7">AG6*1000000</f>
        <v>8.7763345408800006</v>
      </c>
      <c r="AI6" s="13">
        <f t="shared" ref="AI6:AI25" si="8">AJ6*1000000</f>
        <v>11.1337956719</v>
      </c>
      <c r="AJ6" s="36">
        <v>1.11337956719E-5</v>
      </c>
      <c r="AL6" s="13">
        <v>34.010148295</v>
      </c>
      <c r="AM6" s="36">
        <v>7.5322991036600001E-6</v>
      </c>
      <c r="AN6" s="13">
        <f t="shared" ref="AN6:AN25" si="9">AM6*1000000</f>
        <v>7.5322991036599998</v>
      </c>
    </row>
    <row r="7" spans="1:40">
      <c r="A7">
        <v>70</v>
      </c>
      <c r="B7">
        <v>12</v>
      </c>
      <c r="C7">
        <v>1332</v>
      </c>
      <c r="D7">
        <v>60</v>
      </c>
      <c r="E7" s="13">
        <f t="shared" si="0"/>
        <v>1.6439898730535729</v>
      </c>
      <c r="F7" s="13">
        <f t="shared" si="1"/>
        <v>2.5225737607408787</v>
      </c>
      <c r="H7">
        <v>70</v>
      </c>
      <c r="I7">
        <v>12</v>
      </c>
      <c r="J7">
        <v>208</v>
      </c>
      <c r="K7">
        <v>60</v>
      </c>
      <c r="L7" s="13">
        <f t="shared" si="2"/>
        <v>4.1602514716892189</v>
      </c>
      <c r="M7" s="13">
        <f t="shared" si="3"/>
        <v>6.3835801987478913</v>
      </c>
      <c r="O7">
        <v>70</v>
      </c>
      <c r="P7">
        <v>12</v>
      </c>
      <c r="Q7" s="17">
        <f t="shared" si="4"/>
        <v>512.30769230769226</v>
      </c>
      <c r="R7">
        <v>60</v>
      </c>
      <c r="S7" s="13">
        <f t="shared" si="5"/>
        <v>2.6508540184301035</v>
      </c>
      <c r="T7" s="13">
        <f t="shared" si="6"/>
        <v>4.0675279696375517</v>
      </c>
      <c r="V7" s="17">
        <v>30</v>
      </c>
      <c r="W7" s="13">
        <v>28.4</v>
      </c>
      <c r="X7" s="13">
        <f>T5</f>
        <v>22.40628518593239</v>
      </c>
      <c r="Y7" s="20" t="s">
        <v>29</v>
      </c>
      <c r="AA7" s="17">
        <v>30</v>
      </c>
      <c r="AB7" s="13">
        <f>NominalSet!I13</f>
        <v>31.867202236299999</v>
      </c>
      <c r="AC7" s="13">
        <f>NominalSet!J13</f>
        <v>9.9243910375300004</v>
      </c>
      <c r="AF7" s="13">
        <v>28.294632525000001</v>
      </c>
      <c r="AG7">
        <v>7.9459999999999998E-6</v>
      </c>
      <c r="AH7" s="13">
        <f t="shared" si="7"/>
        <v>7.9459999999999997</v>
      </c>
      <c r="AI7" s="13">
        <f t="shared" si="8"/>
        <v>8.3605050978399991</v>
      </c>
      <c r="AJ7" s="36">
        <v>8.3605050978399992E-6</v>
      </c>
      <c r="AL7" s="13">
        <v>31.867202236299999</v>
      </c>
      <c r="AM7" s="36">
        <v>7.6874002419199995E-6</v>
      </c>
      <c r="AN7" s="13">
        <f t="shared" si="9"/>
        <v>7.6874002419199998</v>
      </c>
    </row>
    <row r="8" spans="1:40">
      <c r="A8">
        <v>100</v>
      </c>
      <c r="B8">
        <v>8.4</v>
      </c>
      <c r="C8">
        <v>2196</v>
      </c>
      <c r="D8">
        <v>54</v>
      </c>
      <c r="E8" s="13">
        <f t="shared" si="0"/>
        <v>1.1523319193960637</v>
      </c>
      <c r="F8" s="13">
        <f t="shared" si="1"/>
        <v>1.7681631202103869</v>
      </c>
      <c r="H8">
        <v>100</v>
      </c>
      <c r="I8">
        <v>8.4</v>
      </c>
      <c r="J8">
        <v>444</v>
      </c>
      <c r="K8">
        <v>55</v>
      </c>
      <c r="L8" s="13">
        <f t="shared" si="2"/>
        <v>2.6101844883193723</v>
      </c>
      <c r="M8" s="13">
        <f t="shared" si="3"/>
        <v>4.00512375948969</v>
      </c>
      <c r="O8">
        <v>100</v>
      </c>
      <c r="P8">
        <v>8.4</v>
      </c>
      <c r="Q8" s="17">
        <f t="shared" si="4"/>
        <v>844.61538461538464</v>
      </c>
      <c r="R8">
        <v>55</v>
      </c>
      <c r="S8" s="13">
        <f t="shared" si="5"/>
        <v>1.8924882667294298</v>
      </c>
      <c r="T8" s="13">
        <f t="shared" si="6"/>
        <v>2.9038750921831715</v>
      </c>
      <c r="V8" s="17">
        <v>36</v>
      </c>
      <c r="W8" s="13">
        <f>W7/(V8/V7)</f>
        <v>23.666666666666668</v>
      </c>
      <c r="X8">
        <v>15</v>
      </c>
      <c r="AA8" s="17">
        <v>36</v>
      </c>
      <c r="AB8" s="13">
        <f>NominalSet!I14</f>
        <v>26.581900032499998</v>
      </c>
      <c r="AC8" s="13">
        <f>NominalSet!J14</f>
        <v>6.1920000000000002</v>
      </c>
      <c r="AF8" s="13">
        <v>23.618158538199999</v>
      </c>
      <c r="AG8" s="36">
        <v>5.1609089770099999E-6</v>
      </c>
      <c r="AH8" s="13">
        <f t="shared" si="7"/>
        <v>5.1609089770100001</v>
      </c>
      <c r="AI8" s="13">
        <f t="shared" si="8"/>
        <v>5.4060000000000006</v>
      </c>
      <c r="AJ8">
        <v>5.4060000000000004E-6</v>
      </c>
      <c r="AL8" s="13">
        <v>26.581900032499998</v>
      </c>
      <c r="AM8" s="36">
        <v>5.5814205847299998E-6</v>
      </c>
      <c r="AN8" s="13">
        <f t="shared" si="9"/>
        <v>5.58142058473</v>
      </c>
    </row>
    <row r="9" spans="1:40">
      <c r="A9">
        <v>150</v>
      </c>
      <c r="B9">
        <v>5.6</v>
      </c>
      <c r="C9">
        <v>3048</v>
      </c>
      <c r="D9">
        <v>52</v>
      </c>
      <c r="E9" s="13">
        <f t="shared" si="0"/>
        <v>0.94188062280288398</v>
      </c>
      <c r="F9" s="13">
        <f t="shared" si="1"/>
        <v>1.4452420807311177</v>
      </c>
      <c r="H9">
        <v>150</v>
      </c>
      <c r="I9">
        <v>5.6</v>
      </c>
      <c r="J9">
        <v>516</v>
      </c>
      <c r="K9">
        <v>57</v>
      </c>
      <c r="L9" s="13">
        <f t="shared" si="2"/>
        <v>2.5092850830280278</v>
      </c>
      <c r="M9" s="13">
        <f t="shared" si="3"/>
        <v>3.8503015209624274</v>
      </c>
      <c r="O9">
        <v>150</v>
      </c>
      <c r="P9">
        <v>5.6</v>
      </c>
      <c r="Q9" s="17">
        <f t="shared" si="4"/>
        <v>1172.3076923076924</v>
      </c>
      <c r="R9">
        <v>57</v>
      </c>
      <c r="S9" s="13">
        <f t="shared" si="5"/>
        <v>1.6647692611630556</v>
      </c>
      <c r="T9" s="13">
        <f t="shared" si="6"/>
        <v>2.5544581050841138</v>
      </c>
      <c r="V9" s="17">
        <v>43.199999999999996</v>
      </c>
      <c r="W9" s="13">
        <f t="shared" ref="W9:W25" si="10">W8/(V9/V8)</f>
        <v>19.722222222222225</v>
      </c>
      <c r="X9" s="13">
        <f>T6</f>
        <v>9.0777612878947203</v>
      </c>
      <c r="Y9" s="20" t="s">
        <v>28</v>
      </c>
      <c r="AA9" s="17">
        <v>43.199999999999996</v>
      </c>
      <c r="AB9" s="13">
        <f>NominalSet!I15</f>
        <v>27.304657912</v>
      </c>
      <c r="AC9" s="13">
        <f>NominalSet!J15</f>
        <v>8.2981705362200007</v>
      </c>
      <c r="AF9" s="13">
        <v>22.1515833604</v>
      </c>
      <c r="AG9">
        <v>5.9329999999999998E-6</v>
      </c>
      <c r="AH9" s="13">
        <f t="shared" si="7"/>
        <v>5.9329999999999998</v>
      </c>
      <c r="AI9" s="13">
        <f t="shared" si="8"/>
        <v>5.9329999999999998</v>
      </c>
      <c r="AJ9">
        <v>5.9329999999999998E-6</v>
      </c>
      <c r="AL9" s="13">
        <v>27.304657912</v>
      </c>
      <c r="AM9" s="36">
        <v>6.4277352581600004E-6</v>
      </c>
      <c r="AN9" s="13">
        <f t="shared" si="9"/>
        <v>6.4277352581600002</v>
      </c>
    </row>
    <row r="10" spans="1:40">
      <c r="A10">
        <v>220</v>
      </c>
      <c r="B10">
        <v>3.8</v>
      </c>
      <c r="C10">
        <v>1296</v>
      </c>
      <c r="D10">
        <v>59</v>
      </c>
      <c r="E10" s="13">
        <f t="shared" si="0"/>
        <v>1.6388888888888888</v>
      </c>
      <c r="F10" s="13">
        <f t="shared" si="1"/>
        <v>2.5147466998698245</v>
      </c>
      <c r="H10">
        <v>220</v>
      </c>
      <c r="I10">
        <v>3.8</v>
      </c>
      <c r="J10">
        <v>408</v>
      </c>
      <c r="K10">
        <v>77</v>
      </c>
      <c r="L10" s="13">
        <f t="shared" si="2"/>
        <v>3.8120680404601961</v>
      </c>
      <c r="M10" s="13">
        <f t="shared" si="3"/>
        <v>5.8493199810060048</v>
      </c>
      <c r="O10">
        <v>220</v>
      </c>
      <c r="P10">
        <v>3.8</v>
      </c>
      <c r="Q10" s="17">
        <f t="shared" si="4"/>
        <v>498.46153846153845</v>
      </c>
      <c r="R10">
        <v>77</v>
      </c>
      <c r="S10" s="13">
        <f t="shared" si="5"/>
        <v>3.4488547034388239</v>
      </c>
      <c r="T10" s="13">
        <f t="shared" si="6"/>
        <v>5.291997549439305</v>
      </c>
      <c r="V10" s="17">
        <v>51.839999999999996</v>
      </c>
      <c r="W10" s="13">
        <f t="shared" si="10"/>
        <v>16.435185185185187</v>
      </c>
      <c r="X10">
        <v>7</v>
      </c>
      <c r="Y10" s="20" t="s">
        <v>30</v>
      </c>
      <c r="AA10" s="17">
        <v>51.839999999999996</v>
      </c>
      <c r="AB10" s="13">
        <f>NominalSet!I16</f>
        <v>22.7103439276</v>
      </c>
      <c r="AC10" s="13">
        <f>NominalSet!J16</f>
        <v>5.2210580268299998</v>
      </c>
      <c r="AF10" s="13">
        <v>18.4499615601</v>
      </c>
      <c r="AG10" s="36">
        <v>3.8858913923500004E-6</v>
      </c>
      <c r="AH10" s="13">
        <f t="shared" si="7"/>
        <v>3.8858913923500005</v>
      </c>
      <c r="AI10" s="13">
        <f t="shared" si="8"/>
        <v>3.8858913923500005</v>
      </c>
      <c r="AJ10" s="36">
        <v>3.8858913923500004E-6</v>
      </c>
      <c r="AL10" s="13">
        <v>22.7103439276</v>
      </c>
      <c r="AM10" s="36">
        <v>4.7061981069799998E-6</v>
      </c>
      <c r="AN10" s="13">
        <f t="shared" si="9"/>
        <v>4.7061981069799996</v>
      </c>
    </row>
    <row r="11" spans="1:40">
      <c r="A11">
        <v>340</v>
      </c>
      <c r="B11">
        <v>2.5</v>
      </c>
      <c r="C11">
        <v>744</v>
      </c>
      <c r="D11">
        <v>100</v>
      </c>
      <c r="E11" s="13">
        <f t="shared" si="0"/>
        <v>3.6661778755338323</v>
      </c>
      <c r="F11" s="13">
        <f t="shared" si="1"/>
        <v>5.6254629439125576</v>
      </c>
      <c r="H11">
        <v>340</v>
      </c>
      <c r="I11">
        <v>2.5</v>
      </c>
      <c r="J11">
        <v>120</v>
      </c>
      <c r="K11">
        <v>220</v>
      </c>
      <c r="L11" s="13">
        <f t="shared" si="2"/>
        <v>20.083160441856091</v>
      </c>
      <c r="M11" s="13">
        <f t="shared" si="3"/>
        <v>30.816037491323684</v>
      </c>
      <c r="O11">
        <v>340</v>
      </c>
      <c r="P11">
        <v>2.5</v>
      </c>
      <c r="Q11" s="17">
        <f t="shared" si="4"/>
        <v>286.15384615384613</v>
      </c>
      <c r="R11">
        <v>220</v>
      </c>
      <c r="S11" s="13">
        <f t="shared" si="5"/>
        <v>13.005375232811875</v>
      </c>
      <c r="T11" s="13">
        <f t="shared" si="6"/>
        <v>19.95573017122317</v>
      </c>
      <c r="V11" s="17">
        <v>62.207999999999991</v>
      </c>
      <c r="W11" s="13">
        <f t="shared" si="10"/>
        <v>13.695987654320989</v>
      </c>
      <c r="X11">
        <v>5</v>
      </c>
      <c r="Y11" s="20" t="s">
        <v>31</v>
      </c>
      <c r="AA11" s="17">
        <v>62.207999999999991</v>
      </c>
      <c r="AB11" s="13">
        <f>NominalSet!I17</f>
        <v>13.669673752</v>
      </c>
      <c r="AC11" s="13">
        <f>NominalSet!J17</f>
        <v>3.1098904272400003</v>
      </c>
      <c r="AF11" s="13">
        <v>12.8418912366</v>
      </c>
      <c r="AG11" s="36">
        <v>5.41520023555E-6</v>
      </c>
      <c r="AH11" s="13">
        <f t="shared" si="7"/>
        <v>5.4152002355500004</v>
      </c>
      <c r="AI11" s="13">
        <f t="shared" si="8"/>
        <v>6.3456217158300001</v>
      </c>
      <c r="AJ11" s="36">
        <v>6.3456217158299999E-6</v>
      </c>
      <c r="AL11" s="13">
        <v>13.669673752</v>
      </c>
      <c r="AM11" s="36">
        <v>4.9958460146899997E-6</v>
      </c>
      <c r="AN11" s="13">
        <f t="shared" si="9"/>
        <v>4.9958460146899997</v>
      </c>
    </row>
    <row r="12" spans="1:40">
      <c r="A12">
        <v>500</v>
      </c>
      <c r="B12">
        <v>1.7</v>
      </c>
      <c r="C12">
        <v>1092</v>
      </c>
      <c r="D12">
        <v>350</v>
      </c>
      <c r="E12" s="13">
        <f t="shared" si="0"/>
        <v>10.591481821704043</v>
      </c>
      <c r="F12" s="13">
        <f t="shared" si="1"/>
        <v>16.25179970310192</v>
      </c>
      <c r="H12">
        <v>500</v>
      </c>
      <c r="I12">
        <v>1.7</v>
      </c>
      <c r="J12">
        <v>108</v>
      </c>
      <c r="K12">
        <v>1500</v>
      </c>
      <c r="L12" s="14">
        <f t="shared" si="2"/>
        <v>144.33756729740642</v>
      </c>
      <c r="M12" s="13">
        <f t="shared" si="3"/>
        <v>221.47469757664567</v>
      </c>
      <c r="O12">
        <v>500</v>
      </c>
      <c r="P12">
        <v>1.7</v>
      </c>
      <c r="Q12" s="17">
        <f t="shared" si="4"/>
        <v>420</v>
      </c>
      <c r="R12">
        <v>1500</v>
      </c>
      <c r="S12" s="14">
        <f t="shared" si="5"/>
        <v>73.192505471139995</v>
      </c>
      <c r="T12" s="13">
        <f t="shared" si="6"/>
        <v>112.30816978296816</v>
      </c>
      <c r="V12" s="17">
        <v>74.649599999999992</v>
      </c>
      <c r="W12" s="13">
        <f t="shared" si="10"/>
        <v>11.413323045267491</v>
      </c>
      <c r="X12">
        <v>4</v>
      </c>
      <c r="Y12" s="20" t="s">
        <v>32</v>
      </c>
      <c r="AA12" s="17">
        <v>74.649599999999992</v>
      </c>
      <c r="AB12" s="13">
        <f>NominalSet!I18</f>
        <v>11.3898688195</v>
      </c>
      <c r="AC12" s="13">
        <f>NominalSet!J18</f>
        <v>2.6224324749600001</v>
      </c>
      <c r="AF12" s="13">
        <v>10.699693505200001</v>
      </c>
      <c r="AG12" s="36">
        <v>4.1784995862700001E-6</v>
      </c>
      <c r="AH12" s="13">
        <f t="shared" si="7"/>
        <v>4.1784995862700001</v>
      </c>
      <c r="AI12" s="13">
        <f t="shared" si="8"/>
        <v>4.7985478330099998</v>
      </c>
      <c r="AJ12" s="36">
        <v>4.7985478330100001E-6</v>
      </c>
      <c r="AL12" s="13">
        <v>11.3898688195</v>
      </c>
      <c r="AM12" s="36">
        <v>3.8284630551699997E-6</v>
      </c>
      <c r="AN12" s="13">
        <f t="shared" si="9"/>
        <v>3.8284630551699999</v>
      </c>
    </row>
    <row r="13" spans="1:40">
      <c r="A13">
        <v>850</v>
      </c>
      <c r="B13">
        <v>1</v>
      </c>
      <c r="C13">
        <v>938</v>
      </c>
      <c r="D13">
        <v>15000</v>
      </c>
      <c r="E13" s="14">
        <f t="shared" si="0"/>
        <v>489.7673613362544</v>
      </c>
      <c r="F13" s="14">
        <f t="shared" si="1"/>
        <v>751.50967461821551</v>
      </c>
      <c r="H13">
        <v>850</v>
      </c>
      <c r="I13">
        <v>1</v>
      </c>
      <c r="J13">
        <v>110</v>
      </c>
      <c r="K13">
        <v>250000</v>
      </c>
      <c r="L13" s="15">
        <f t="shared" si="2"/>
        <v>23836.56473113981</v>
      </c>
      <c r="M13" s="13">
        <f t="shared" si="3"/>
        <v>36575.342538630888</v>
      </c>
      <c r="O13">
        <v>850</v>
      </c>
      <c r="P13">
        <v>1</v>
      </c>
      <c r="Q13" s="17">
        <f t="shared" si="4"/>
        <v>360.76923076923077</v>
      </c>
      <c r="R13">
        <v>250000</v>
      </c>
      <c r="S13" s="15">
        <f t="shared" si="5"/>
        <v>13162.102345989842</v>
      </c>
      <c r="T13" s="13">
        <f t="shared" si="6"/>
        <v>20196.215657040102</v>
      </c>
      <c r="V13" s="17">
        <v>89.579519999999988</v>
      </c>
      <c r="W13" s="13">
        <f t="shared" si="10"/>
        <v>9.511102537722909</v>
      </c>
      <c r="X13">
        <v>3.2</v>
      </c>
      <c r="Y13" s="20" t="s">
        <v>33</v>
      </c>
      <c r="AA13" s="17">
        <v>89.579519999999988</v>
      </c>
      <c r="AB13" s="13">
        <f>NominalSet!I19</f>
        <v>10.681871389399999</v>
      </c>
      <c r="AC13" s="13">
        <f>NominalSet!J19</f>
        <v>2.36682448571</v>
      </c>
      <c r="AF13" s="13">
        <v>9.4894386984000008</v>
      </c>
      <c r="AG13" s="36">
        <v>3.37216794193E-6</v>
      </c>
      <c r="AH13" s="13">
        <f t="shared" si="7"/>
        <v>3.3721679419299999</v>
      </c>
      <c r="AI13" s="13">
        <f t="shared" si="8"/>
        <v>3.4501262165099997</v>
      </c>
      <c r="AJ13" s="36">
        <v>3.4501262165099998E-6</v>
      </c>
      <c r="AL13" s="13">
        <v>10.681871389399999</v>
      </c>
      <c r="AM13" s="36">
        <v>3.9249343818599997E-6</v>
      </c>
      <c r="AN13" s="13">
        <f t="shared" si="9"/>
        <v>3.9249343818599995</v>
      </c>
    </row>
    <row r="14" spans="1:40">
      <c r="V14" s="17">
        <v>107.49542399999999</v>
      </c>
      <c r="W14" s="13">
        <f t="shared" si="10"/>
        <v>7.9259187814357581</v>
      </c>
      <c r="X14" s="13">
        <f>T8</f>
        <v>2.9038750921831715</v>
      </c>
      <c r="Y14" s="20" t="s">
        <v>38</v>
      </c>
      <c r="AA14" s="17">
        <v>107.49542399999999</v>
      </c>
      <c r="AB14" s="13">
        <f>NominalSet!I20</f>
        <v>8.9045589852999996</v>
      </c>
      <c r="AC14" s="13">
        <f>NominalSet!J20</f>
        <v>2.0704365309899999</v>
      </c>
      <c r="AF14" s="13">
        <v>7.9093368128000003</v>
      </c>
      <c r="AG14" s="36">
        <v>2.6836713131100002E-6</v>
      </c>
      <c r="AH14" s="13">
        <f t="shared" si="7"/>
        <v>2.6836713131100001</v>
      </c>
      <c r="AI14" s="13">
        <f t="shared" si="8"/>
        <v>2.7330000000000001</v>
      </c>
      <c r="AJ14">
        <v>2.7329999999999999E-6</v>
      </c>
      <c r="AL14" s="13">
        <v>8.9045589852999996</v>
      </c>
      <c r="AM14" s="36">
        <v>3.1056547964900002E-6</v>
      </c>
      <c r="AN14" s="13">
        <f t="shared" si="9"/>
        <v>3.1056547964900001</v>
      </c>
    </row>
    <row r="15" spans="1:40">
      <c r="A15" t="s">
        <v>70</v>
      </c>
      <c r="B15">
        <v>4</v>
      </c>
      <c r="C15" t="s">
        <v>71</v>
      </c>
      <c r="H15" t="s">
        <v>70</v>
      </c>
      <c r="I15">
        <v>4</v>
      </c>
      <c r="J15" t="s">
        <v>71</v>
      </c>
      <c r="O15" t="s">
        <v>70</v>
      </c>
      <c r="P15">
        <v>4</v>
      </c>
      <c r="Q15" t="s">
        <v>71</v>
      </c>
      <c r="V15" s="17">
        <v>128.99450879999998</v>
      </c>
      <c r="W15" s="13">
        <f t="shared" si="10"/>
        <v>6.6049323178631321</v>
      </c>
      <c r="X15">
        <v>2.7</v>
      </c>
      <c r="Y15" s="20" t="s">
        <v>36</v>
      </c>
      <c r="AA15" s="17">
        <v>128.99450879999998</v>
      </c>
      <c r="AB15" s="13">
        <f>NominalSet!I21</f>
        <v>9.1343940881000005</v>
      </c>
      <c r="AC15" s="13">
        <f>NominalSet!J21</f>
        <v>2.2572839170000001</v>
      </c>
      <c r="AF15" s="13">
        <v>7.4176104147000004</v>
      </c>
      <c r="AG15" s="36">
        <v>2.86252850487E-6</v>
      </c>
      <c r="AH15" s="13">
        <f t="shared" si="7"/>
        <v>2.8625285048700002</v>
      </c>
      <c r="AI15" s="13">
        <f t="shared" si="8"/>
        <v>2.8625285048700002</v>
      </c>
      <c r="AJ15" s="36">
        <v>2.86252850487E-6</v>
      </c>
      <c r="AL15" s="13">
        <v>9.1343940881000005</v>
      </c>
      <c r="AM15" s="36">
        <v>3.7432818989899998E-6</v>
      </c>
      <c r="AN15" s="13">
        <f t="shared" si="9"/>
        <v>3.7432818989899999</v>
      </c>
    </row>
    <row r="16" spans="1:40">
      <c r="V16" s="17">
        <v>154.79341055999996</v>
      </c>
      <c r="W16" s="13">
        <f t="shared" si="10"/>
        <v>5.5041102648859432</v>
      </c>
      <c r="X16" s="13">
        <f>T9</f>
        <v>2.5544581050841138</v>
      </c>
      <c r="Y16" s="20" t="s">
        <v>39</v>
      </c>
      <c r="AA16" s="17">
        <v>154.79341055999996</v>
      </c>
      <c r="AB16" s="13">
        <f>NominalSet!I22</f>
        <v>7.6174175515</v>
      </c>
      <c r="AC16" s="13">
        <f>NominalSet!J22</f>
        <v>2.117</v>
      </c>
      <c r="AF16" s="13">
        <v>6.1838345795</v>
      </c>
      <c r="AG16" s="36">
        <v>2.4398288563200001E-6</v>
      </c>
      <c r="AH16" s="13">
        <f t="shared" si="7"/>
        <v>2.4398288563200001</v>
      </c>
      <c r="AI16" s="13">
        <f t="shared" si="8"/>
        <v>2.4398288563200001</v>
      </c>
      <c r="AJ16" s="36">
        <v>2.4398288563200001E-6</v>
      </c>
      <c r="AL16" s="13">
        <v>7.6174175515</v>
      </c>
      <c r="AM16" s="36">
        <v>3.17553468042E-6</v>
      </c>
      <c r="AN16" s="13">
        <f t="shared" si="9"/>
        <v>3.1755346804199998</v>
      </c>
    </row>
    <row r="17" spans="1:40">
      <c r="A17" s="76" t="s">
        <v>27</v>
      </c>
      <c r="B17" s="76"/>
      <c r="C17" s="76"/>
      <c r="D17" s="76"/>
      <c r="E17" s="76"/>
      <c r="F17" s="76"/>
      <c r="V17" s="17">
        <v>185.75209267199995</v>
      </c>
      <c r="W17" s="13">
        <f t="shared" si="10"/>
        <v>4.5867585540716194</v>
      </c>
      <c r="X17">
        <v>3.6</v>
      </c>
      <c r="Y17" s="20" t="s">
        <v>40</v>
      </c>
      <c r="AA17" s="17">
        <v>185.75209267199995</v>
      </c>
      <c r="AB17" s="13">
        <f>NominalSet!I23</f>
        <v>4.5774089226000001</v>
      </c>
      <c r="AC17" s="13">
        <f>NominalSet!J23</f>
        <v>2.45205639419</v>
      </c>
      <c r="AF17" s="13">
        <v>4.3005033480000003</v>
      </c>
      <c r="AG17" s="36">
        <v>3.9218839420599997E-6</v>
      </c>
      <c r="AH17" s="13">
        <f t="shared" si="7"/>
        <v>3.9218839420599996</v>
      </c>
      <c r="AI17" s="13">
        <f t="shared" si="8"/>
        <v>4.0854663369900006</v>
      </c>
      <c r="AJ17" s="36">
        <v>4.0854663369900002E-6</v>
      </c>
      <c r="AL17" s="13">
        <v>4.5774089226000001</v>
      </c>
      <c r="AM17" s="36">
        <v>3.8061977981699999E-6</v>
      </c>
      <c r="AN17" s="13">
        <f t="shared" si="9"/>
        <v>3.8061977981699999</v>
      </c>
    </row>
    <row r="18" spans="1:40">
      <c r="A18" s="76" t="s">
        <v>64</v>
      </c>
      <c r="B18" s="76"/>
      <c r="C18" s="76"/>
      <c r="D18" s="76"/>
      <c r="E18" s="76"/>
      <c r="F18" s="76"/>
      <c r="V18" s="17">
        <v>222.90251120639994</v>
      </c>
      <c r="W18" s="13">
        <f t="shared" si="10"/>
        <v>3.822298795059683</v>
      </c>
      <c r="X18" s="13">
        <f>T10</f>
        <v>5.291997549439305</v>
      </c>
      <c r="Y18" s="20" t="s">
        <v>34</v>
      </c>
      <c r="AA18" s="17">
        <v>222.90251120639994</v>
      </c>
      <c r="AB18" s="13">
        <f>NominalSet!I24</f>
        <v>3.8145074354999999</v>
      </c>
      <c r="AC18" s="13">
        <f>NominalSet!J24</f>
        <v>3.36621269778</v>
      </c>
      <c r="AF18" s="13">
        <v>3.5836370376</v>
      </c>
      <c r="AG18" s="36">
        <v>5.19738705039E-6</v>
      </c>
      <c r="AH18" s="13">
        <f t="shared" si="7"/>
        <v>5.1973870503899997</v>
      </c>
      <c r="AI18" s="13">
        <f t="shared" si="8"/>
        <v>5.3477930924699999</v>
      </c>
      <c r="AJ18" s="36">
        <v>5.3477930924699997E-6</v>
      </c>
      <c r="AL18" s="13">
        <v>3.8145074354999999</v>
      </c>
      <c r="AM18" s="36">
        <v>5.21919296754E-6</v>
      </c>
      <c r="AN18" s="13">
        <f t="shared" si="9"/>
        <v>5.2191929675399997</v>
      </c>
    </row>
    <row r="19" spans="1:40">
      <c r="A19" t="s">
        <v>6</v>
      </c>
      <c r="B19" t="s">
        <v>47</v>
      </c>
      <c r="C19" t="s">
        <v>48</v>
      </c>
      <c r="D19" s="75" t="s">
        <v>49</v>
      </c>
      <c r="E19" s="75"/>
      <c r="F19" t="s">
        <v>68</v>
      </c>
      <c r="V19" s="17">
        <v>267.48301344767992</v>
      </c>
      <c r="W19" s="13">
        <f t="shared" si="10"/>
        <v>3.1852489958830694</v>
      </c>
      <c r="X19">
        <v>9</v>
      </c>
      <c r="Y19" s="20" t="s">
        <v>41</v>
      </c>
      <c r="AA19" s="17">
        <v>267.48301344767992</v>
      </c>
      <c r="AB19" s="13">
        <f>NominalSet!I25</f>
        <v>3.5777465157999999</v>
      </c>
      <c r="AC19" s="13">
        <f>NominalSet!J25</f>
        <v>3.6337160971000002</v>
      </c>
      <c r="AF19" s="13">
        <v>3.1791127589000001</v>
      </c>
      <c r="AG19" s="36">
        <v>4.5503599348699996E-6</v>
      </c>
      <c r="AH19" s="13">
        <f t="shared" si="7"/>
        <v>4.5503599348699995</v>
      </c>
      <c r="AI19" s="13">
        <f t="shared" si="8"/>
        <v>4.5673430435699993</v>
      </c>
      <c r="AJ19" s="36">
        <v>4.5673430435699997E-6</v>
      </c>
      <c r="AL19" s="13">
        <v>3.5777465157999999</v>
      </c>
      <c r="AM19" s="36">
        <v>5.6812130828599999E-6</v>
      </c>
      <c r="AN19" s="13">
        <f t="shared" si="9"/>
        <v>5.6812130828600003</v>
      </c>
    </row>
    <row r="20" spans="1:40">
      <c r="D20" t="s">
        <v>50</v>
      </c>
      <c r="E20" t="s">
        <v>51</v>
      </c>
      <c r="F20" t="s">
        <v>52</v>
      </c>
      <c r="V20" s="17">
        <v>320.97961613721588</v>
      </c>
      <c r="W20" s="13">
        <f t="shared" si="10"/>
        <v>2.6543741632358913</v>
      </c>
      <c r="X20" s="13">
        <v>16</v>
      </c>
      <c r="Y20" s="20" t="s">
        <v>42</v>
      </c>
      <c r="AA20" s="17">
        <v>320.97961613721588</v>
      </c>
      <c r="AB20" s="13">
        <f>NominalSet!I26</f>
        <v>2.9812436747</v>
      </c>
      <c r="AC20" s="13">
        <f>NominalSet!J26</f>
        <v>6.8177589794799998</v>
      </c>
      <c r="AF20" s="13">
        <v>2.6487654434999999</v>
      </c>
      <c r="AG20" s="36">
        <v>8.2114660172299999E-6</v>
      </c>
      <c r="AH20" s="13">
        <f t="shared" si="7"/>
        <v>8.2114660172300002</v>
      </c>
      <c r="AI20" s="13">
        <f t="shared" si="8"/>
        <v>8.234</v>
      </c>
      <c r="AJ20">
        <v>8.2339999999999994E-6</v>
      </c>
      <c r="AL20" s="13">
        <v>2.9812436747</v>
      </c>
      <c r="AM20" s="36">
        <v>1.06247099963E-5</v>
      </c>
      <c r="AN20" s="13">
        <f t="shared" si="9"/>
        <v>10.6247099963</v>
      </c>
    </row>
    <row r="21" spans="1:40">
      <c r="A21">
        <v>60</v>
      </c>
      <c r="B21" s="13">
        <v>17.87</v>
      </c>
      <c r="C21">
        <v>48</v>
      </c>
      <c r="E21" s="13"/>
      <c r="F21">
        <v>10.6</v>
      </c>
      <c r="V21" s="17">
        <v>385.17553936465907</v>
      </c>
      <c r="W21" s="13">
        <f t="shared" si="10"/>
        <v>2.2119784693632427</v>
      </c>
      <c r="X21">
        <v>32</v>
      </c>
      <c r="Y21" s="20" t="s">
        <v>35</v>
      </c>
      <c r="AA21" s="17">
        <v>385.17553936465907</v>
      </c>
      <c r="AB21" s="13">
        <f>NominalSet!I27</f>
        <v>3.0586120528</v>
      </c>
      <c r="AC21" s="13">
        <f>NominalSet!J27</f>
        <v>12.028266637</v>
      </c>
      <c r="AF21" s="13">
        <v>2.4846122319999999</v>
      </c>
      <c r="AG21" s="36">
        <v>1.3635777923199999E-5</v>
      </c>
      <c r="AH21" s="13">
        <f t="shared" si="7"/>
        <v>13.635777923199999</v>
      </c>
      <c r="AI21" s="13">
        <f t="shared" si="8"/>
        <v>13.635777923199999</v>
      </c>
      <c r="AJ21" s="36">
        <v>1.3635777923199999E-5</v>
      </c>
      <c r="AL21" s="13">
        <v>3.0586120528</v>
      </c>
      <c r="AM21" s="36">
        <v>1.88058571325E-5</v>
      </c>
      <c r="AN21" s="13">
        <f t="shared" si="9"/>
        <v>18.805857132499998</v>
      </c>
    </row>
    <row r="22" spans="1:40">
      <c r="A22">
        <v>70</v>
      </c>
      <c r="B22" s="13">
        <f>B21/(A22/A21)</f>
        <v>15.317142857142857</v>
      </c>
      <c r="C22">
        <v>48</v>
      </c>
      <c r="E22" s="13"/>
      <c r="F22">
        <v>10</v>
      </c>
      <c r="V22" s="17">
        <v>462.21064723759088</v>
      </c>
      <c r="W22" s="13">
        <f t="shared" si="10"/>
        <v>1.8433153911360356</v>
      </c>
      <c r="X22">
        <v>75</v>
      </c>
      <c r="Y22" s="20" t="s">
        <v>43</v>
      </c>
      <c r="AA22" s="17">
        <v>462.21064723759088</v>
      </c>
      <c r="AB22" s="13">
        <f>NominalSet!I28</f>
        <v>2.549070661</v>
      </c>
      <c r="AC22" s="13">
        <f>NominalSet!J28</f>
        <v>34.909622943199999</v>
      </c>
      <c r="AF22" s="13">
        <v>2.0703434385000001</v>
      </c>
      <c r="AG22" s="36">
        <v>3.8667349613399999E-5</v>
      </c>
      <c r="AH22" s="13">
        <f t="shared" si="7"/>
        <v>38.667349613399999</v>
      </c>
      <c r="AI22" s="13">
        <f t="shared" si="8"/>
        <v>38.667349613399999</v>
      </c>
      <c r="AJ22" s="36">
        <v>3.8667349613399999E-5</v>
      </c>
      <c r="AL22" s="13">
        <v>2.549070661</v>
      </c>
      <c r="AM22" s="36">
        <v>5.4402718102599999E-5</v>
      </c>
      <c r="AN22" s="13">
        <f t="shared" si="9"/>
        <v>54.402718102599998</v>
      </c>
    </row>
    <row r="23" spans="1:40">
      <c r="A23">
        <v>80</v>
      </c>
      <c r="B23" s="13">
        <f t="shared" ref="B23:B39" si="11">B22/(A23/A22)</f>
        <v>13.4025</v>
      </c>
      <c r="C23">
        <v>48</v>
      </c>
      <c r="E23" s="13"/>
      <c r="F23">
        <v>9.6</v>
      </c>
      <c r="V23" s="17">
        <v>554.65277668510907</v>
      </c>
      <c r="W23" s="13">
        <f t="shared" si="10"/>
        <v>1.5360961592800297</v>
      </c>
      <c r="X23" s="13">
        <v>220</v>
      </c>
      <c r="Y23" s="20" t="s">
        <v>44</v>
      </c>
      <c r="AA23" s="17">
        <v>554.65277668510907</v>
      </c>
      <c r="AB23" s="13">
        <f>NominalSet!I29</f>
        <v>1.5329553906</v>
      </c>
      <c r="AC23" s="13">
        <f>NominalSet!J29</f>
        <v>252.34969999999998</v>
      </c>
      <c r="AF23" s="13">
        <v>1.5329553906</v>
      </c>
      <c r="AG23">
        <v>2.5203230000000001E-4</v>
      </c>
      <c r="AH23" s="13">
        <f t="shared" si="7"/>
        <v>252.03230000000002</v>
      </c>
      <c r="AI23" s="13">
        <f t="shared" si="8"/>
        <v>252.38840000000002</v>
      </c>
      <c r="AJ23">
        <v>2.5238840000000001E-4</v>
      </c>
      <c r="AL23" s="13">
        <v>1.5329553906</v>
      </c>
      <c r="AM23">
        <v>2.9098900000000002E-4</v>
      </c>
      <c r="AN23" s="13">
        <f t="shared" si="9"/>
        <v>290.98900000000003</v>
      </c>
    </row>
    <row r="24" spans="1:40">
      <c r="A24">
        <v>90</v>
      </c>
      <c r="B24" s="13">
        <f t="shared" si="11"/>
        <v>11.913333333333334</v>
      </c>
      <c r="C24">
        <v>78</v>
      </c>
      <c r="E24" s="13"/>
      <c r="F24">
        <v>7.3</v>
      </c>
      <c r="V24" s="17">
        <v>665.58333202213089</v>
      </c>
      <c r="W24" s="13">
        <f t="shared" si="10"/>
        <v>1.2800801327333582</v>
      </c>
      <c r="X24">
        <v>1100</v>
      </c>
      <c r="Y24" s="20" t="s">
        <v>45</v>
      </c>
      <c r="AA24" s="17">
        <v>665.58333202213089</v>
      </c>
      <c r="AB24" s="13">
        <f>NominalSet!I30</f>
        <v>1.2774244401999999</v>
      </c>
      <c r="AC24" s="13">
        <f>NominalSet!J30</f>
        <v>1169.2104999999999</v>
      </c>
      <c r="AF24" s="13">
        <v>1.2774244401999999</v>
      </c>
      <c r="AG24">
        <v>1.1182843999999999E-3</v>
      </c>
      <c r="AH24" s="13">
        <f t="shared" si="7"/>
        <v>1118.2844</v>
      </c>
      <c r="AI24" s="13">
        <f t="shared" si="8"/>
        <v>1119.5892999999999</v>
      </c>
      <c r="AJ24">
        <v>1.1195892999999999E-3</v>
      </c>
      <c r="AL24" s="13">
        <v>1.2774244401999999</v>
      </c>
      <c r="AM24">
        <v>1.3694689000000001E-3</v>
      </c>
      <c r="AN24" s="13">
        <f t="shared" si="9"/>
        <v>1369.4689000000001</v>
      </c>
    </row>
    <row r="25" spans="1:40">
      <c r="A25">
        <v>100</v>
      </c>
      <c r="B25" s="13">
        <f t="shared" si="11"/>
        <v>10.722</v>
      </c>
      <c r="C25">
        <v>78</v>
      </c>
      <c r="E25" s="13"/>
      <c r="F25">
        <v>7.1</v>
      </c>
      <c r="V25" s="17">
        <v>798.69999842655704</v>
      </c>
      <c r="W25" s="13">
        <f t="shared" si="10"/>
        <v>1.0667334439444651</v>
      </c>
      <c r="X25" s="13">
        <v>10000</v>
      </c>
      <c r="Y25" s="20" t="s">
        <v>46</v>
      </c>
      <c r="AA25" s="17">
        <v>798.69999842655704</v>
      </c>
      <c r="AB25" s="13">
        <f>NominalSet!I31</f>
        <v>1.0645470231</v>
      </c>
      <c r="AC25" s="13">
        <f>NominalSet!J31</f>
        <v>7703.4686999999994</v>
      </c>
      <c r="AF25" s="13">
        <v>1.0645470231</v>
      </c>
      <c r="AG25">
        <v>7.3389709000000001E-3</v>
      </c>
      <c r="AH25" s="13">
        <f t="shared" si="7"/>
        <v>7338.9709000000003</v>
      </c>
      <c r="AI25" s="13">
        <f t="shared" si="8"/>
        <v>7345.9225999999999</v>
      </c>
      <c r="AJ25">
        <v>7.3459225999999997E-3</v>
      </c>
      <c r="AL25" s="13">
        <v>1.0645470231</v>
      </c>
      <c r="AM25">
        <v>9.1989432999999999E-3</v>
      </c>
      <c r="AN25" s="13">
        <f t="shared" si="9"/>
        <v>9198.943299999999</v>
      </c>
    </row>
    <row r="26" spans="1:40">
      <c r="A26">
        <v>115</v>
      </c>
      <c r="B26" s="13">
        <f t="shared" si="11"/>
        <v>9.3234782608695657</v>
      </c>
      <c r="C26">
        <v>76</v>
      </c>
      <c r="E26" s="13"/>
      <c r="F26">
        <v>7</v>
      </c>
    </row>
    <row r="27" spans="1:40">
      <c r="A27">
        <v>130</v>
      </c>
      <c r="B27" s="13">
        <f t="shared" si="11"/>
        <v>8.2476923076923079</v>
      </c>
      <c r="C27">
        <v>124</v>
      </c>
      <c r="E27" s="13"/>
      <c r="F27">
        <v>5.5</v>
      </c>
      <c r="V27" t="s">
        <v>63</v>
      </c>
      <c r="AB27" t="s">
        <v>103</v>
      </c>
      <c r="AC27">
        <v>3024</v>
      </c>
      <c r="AF27" t="s">
        <v>103</v>
      </c>
      <c r="AG27">
        <v>6338</v>
      </c>
      <c r="AL27" t="s">
        <v>103</v>
      </c>
      <c r="AM27">
        <v>3660</v>
      </c>
    </row>
    <row r="28" spans="1:40">
      <c r="A28">
        <v>145</v>
      </c>
      <c r="B28" s="13">
        <f t="shared" si="11"/>
        <v>7.3944827586206898</v>
      </c>
      <c r="C28">
        <v>144</v>
      </c>
      <c r="E28" s="14"/>
      <c r="F28">
        <v>5.0999999999999996</v>
      </c>
      <c r="V28" t="s">
        <v>62</v>
      </c>
    </row>
    <row r="29" spans="1:40">
      <c r="A29">
        <v>160</v>
      </c>
      <c r="B29" s="13">
        <f t="shared" si="11"/>
        <v>6.7012499999999999</v>
      </c>
      <c r="C29">
        <v>144</v>
      </c>
      <c r="E29" s="15"/>
      <c r="F29">
        <v>5.2</v>
      </c>
      <c r="AF29" s="16" t="s">
        <v>101</v>
      </c>
      <c r="AK29" s="16" t="s">
        <v>102</v>
      </c>
    </row>
    <row r="30" spans="1:40">
      <c r="A30">
        <v>175</v>
      </c>
      <c r="B30" s="13">
        <f t="shared" si="11"/>
        <v>6.1268571428571432</v>
      </c>
      <c r="C30">
        <v>160</v>
      </c>
      <c r="F30">
        <v>5.0999999999999996</v>
      </c>
    </row>
    <row r="31" spans="1:40">
      <c r="A31">
        <v>195</v>
      </c>
      <c r="B31" s="13">
        <f t="shared" si="11"/>
        <v>5.4984615384615383</v>
      </c>
      <c r="C31">
        <v>192</v>
      </c>
      <c r="F31">
        <v>4.9000000000000004</v>
      </c>
      <c r="AF31" t="s">
        <v>61</v>
      </c>
      <c r="AH31" t="s">
        <v>68</v>
      </c>
      <c r="AK31" t="s">
        <v>61</v>
      </c>
      <c r="AM31" t="s">
        <v>68</v>
      </c>
    </row>
    <row r="32" spans="1:40">
      <c r="A32">
        <v>220</v>
      </c>
      <c r="B32" s="13">
        <f t="shared" si="11"/>
        <v>4.8736363636363631</v>
      </c>
      <c r="C32">
        <v>192</v>
      </c>
      <c r="F32">
        <v>5.4</v>
      </c>
      <c r="AF32" t="s">
        <v>72</v>
      </c>
      <c r="AH32" t="s">
        <v>73</v>
      </c>
      <c r="AK32" t="s">
        <v>72</v>
      </c>
      <c r="AM32" t="s">
        <v>73</v>
      </c>
    </row>
    <row r="33" spans="1:39">
      <c r="A33">
        <v>255</v>
      </c>
      <c r="B33" s="13">
        <f t="shared" si="11"/>
        <v>4.2047058823529406</v>
      </c>
      <c r="C33">
        <v>128</v>
      </c>
      <c r="F33">
        <v>7.9</v>
      </c>
      <c r="AF33" s="13">
        <v>40.8775820854</v>
      </c>
      <c r="AG33" s="36">
        <v>1.2038417533199999E-5</v>
      </c>
      <c r="AH33" s="13">
        <f>AG33*1000000</f>
        <v>12.038417533199999</v>
      </c>
      <c r="AK33" s="13">
        <v>52.149885024100001</v>
      </c>
      <c r="AL33" s="36">
        <v>2.35496259647E-5</v>
      </c>
      <c r="AM33" s="13">
        <f>AL33*1000000</f>
        <v>23.549625964699999</v>
      </c>
    </row>
    <row r="34" spans="1:39">
      <c r="A34">
        <v>295</v>
      </c>
      <c r="B34" s="13">
        <f t="shared" si="11"/>
        <v>3.63457627118644</v>
      </c>
      <c r="C34">
        <v>128</v>
      </c>
      <c r="F34">
        <v>10.5</v>
      </c>
      <c r="AF34" s="13">
        <v>34.010148295</v>
      </c>
      <c r="AG34" s="36">
        <v>7.9965915790000007E-6</v>
      </c>
      <c r="AH34" s="13">
        <f t="shared" ref="AH34:AH53" si="12">AG34*1000000</f>
        <v>7.9965915790000004</v>
      </c>
      <c r="AK34" s="13">
        <v>43.388704339999997</v>
      </c>
      <c r="AL34" s="36">
        <v>1.5363765249200001E-5</v>
      </c>
      <c r="AM34" s="13">
        <f t="shared" ref="AM34:AM53" si="13">AL34*1000000</f>
        <v>15.363765249200002</v>
      </c>
    </row>
    <row r="35" spans="1:39">
      <c r="A35">
        <v>340</v>
      </c>
      <c r="B35" s="13">
        <f t="shared" si="11"/>
        <v>3.1535294117647052</v>
      </c>
      <c r="C35">
        <v>128</v>
      </c>
      <c r="F35">
        <v>15.7</v>
      </c>
      <c r="AF35" s="13">
        <v>31.867202236299999</v>
      </c>
      <c r="AG35" s="36">
        <v>9.0548357052300003E-6</v>
      </c>
      <c r="AH35" s="13">
        <f t="shared" si="12"/>
        <v>9.0548357052299995</v>
      </c>
      <c r="AK35" s="13">
        <v>43.599488190800002</v>
      </c>
      <c r="AL35" s="36">
        <v>1.76039205135E-5</v>
      </c>
      <c r="AM35" s="13">
        <f t="shared" si="13"/>
        <v>17.6039205135</v>
      </c>
    </row>
    <row r="36" spans="1:39">
      <c r="A36">
        <v>390</v>
      </c>
      <c r="B36" s="13">
        <f t="shared" si="11"/>
        <v>2.7492307692307687</v>
      </c>
      <c r="C36">
        <v>96</v>
      </c>
      <c r="F36">
        <v>31.1</v>
      </c>
      <c r="AF36" s="13">
        <v>26.581900032499998</v>
      </c>
      <c r="AG36" s="36">
        <v>6.0172310968600001E-6</v>
      </c>
      <c r="AH36" s="13">
        <f t="shared" si="12"/>
        <v>6.0172310968599998</v>
      </c>
      <c r="AK36" s="13">
        <v>36.354901818599998</v>
      </c>
      <c r="AL36" s="36">
        <v>1.14774535648E-5</v>
      </c>
      <c r="AM36" s="13">
        <f t="shared" si="13"/>
        <v>11.477453564799999</v>
      </c>
    </row>
    <row r="37" spans="1:39">
      <c r="A37">
        <v>450</v>
      </c>
      <c r="B37" s="13">
        <f t="shared" si="11"/>
        <v>2.3826666666666663</v>
      </c>
      <c r="C37">
        <v>96</v>
      </c>
      <c r="F37">
        <v>64.900000000000006</v>
      </c>
      <c r="AF37" s="13">
        <v>27.304657912</v>
      </c>
      <c r="AG37">
        <v>7.678E-6</v>
      </c>
      <c r="AH37" s="13">
        <f t="shared" si="12"/>
        <v>7.6779999999999999</v>
      </c>
      <c r="AK37" s="13">
        <v>41.117208073800001</v>
      </c>
      <c r="AL37" s="36">
        <v>1.49918477032E-5</v>
      </c>
      <c r="AM37" s="13">
        <f t="shared" si="13"/>
        <v>14.991847703199999</v>
      </c>
    </row>
    <row r="38" spans="1:39">
      <c r="A38">
        <v>520</v>
      </c>
      <c r="B38" s="13">
        <f t="shared" si="11"/>
        <v>2.061923076923077</v>
      </c>
      <c r="C38">
        <v>96</v>
      </c>
      <c r="F38">
        <v>164.8</v>
      </c>
      <c r="AF38" s="13">
        <v>22.7103439276</v>
      </c>
      <c r="AG38" s="36">
        <v>5.14979067387E-6</v>
      </c>
      <c r="AH38" s="13">
        <f t="shared" si="12"/>
        <v>5.1497906738700001</v>
      </c>
      <c r="AK38" s="13">
        <v>34.1755182558</v>
      </c>
      <c r="AL38" s="36">
        <v>9.8776547520999995E-6</v>
      </c>
      <c r="AM38" s="13">
        <f t="shared" si="13"/>
        <v>9.8776547520999998</v>
      </c>
    </row>
    <row r="39" spans="1:39">
      <c r="A39">
        <v>600</v>
      </c>
      <c r="B39" s="13">
        <f t="shared" si="11"/>
        <v>1.7870000000000001</v>
      </c>
      <c r="C39">
        <v>96</v>
      </c>
      <c r="F39">
        <v>506.7</v>
      </c>
      <c r="AF39" s="13">
        <v>13.669673752</v>
      </c>
      <c r="AG39" s="36">
        <v>3.36648714826E-6</v>
      </c>
      <c r="AH39" s="13">
        <f t="shared" si="12"/>
        <v>3.3664871482600001</v>
      </c>
      <c r="AK39" s="13">
        <v>17.4391898473</v>
      </c>
      <c r="AL39" s="36">
        <v>3.8680746063100004E-6</v>
      </c>
      <c r="AM39" s="13">
        <f t="shared" si="13"/>
        <v>3.8680746063100004</v>
      </c>
    </row>
    <row r="40" spans="1:39">
      <c r="AF40" s="13">
        <v>11.3898688195</v>
      </c>
      <c r="AG40" s="36">
        <v>3.0024038266300002E-6</v>
      </c>
      <c r="AH40" s="13">
        <f t="shared" si="12"/>
        <v>3.0024038266300002</v>
      </c>
      <c r="AK40" s="13">
        <v>14.5307114334</v>
      </c>
      <c r="AL40" s="36">
        <v>3.3186780029600002E-6</v>
      </c>
      <c r="AM40" s="13">
        <f t="shared" si="13"/>
        <v>3.31867800296</v>
      </c>
    </row>
    <row r="41" spans="1:39">
      <c r="AF41" s="13">
        <v>10.681871389399999</v>
      </c>
      <c r="AG41" s="36">
        <v>2.6898179491600001E-6</v>
      </c>
      <c r="AH41" s="13">
        <f t="shared" si="12"/>
        <v>2.6898179491600001</v>
      </c>
      <c r="AK41" s="13">
        <v>14.6103319603</v>
      </c>
      <c r="AL41" s="36">
        <v>3.0709999999999999E-6</v>
      </c>
      <c r="AM41" s="13">
        <f t="shared" si="13"/>
        <v>3.0709999999999997</v>
      </c>
    </row>
    <row r="42" spans="1:39">
      <c r="AF42" s="13">
        <v>8.9045589852999996</v>
      </c>
      <c r="AG42" s="36">
        <v>2.47428626169E-6</v>
      </c>
      <c r="AH42" s="13">
        <f t="shared" si="12"/>
        <v>2.4742862616900001</v>
      </c>
      <c r="AK42" s="13">
        <v>12.1803629204</v>
      </c>
      <c r="AL42" s="36">
        <v>2.7257538434800002E-6</v>
      </c>
      <c r="AM42" s="13">
        <f t="shared" si="13"/>
        <v>2.7257538434800002</v>
      </c>
    </row>
    <row r="43" spans="1:39">
      <c r="AF43" s="13">
        <v>9.1343940881000005</v>
      </c>
      <c r="AG43" s="36">
        <v>2.59838604057E-6</v>
      </c>
      <c r="AH43" s="13">
        <f t="shared" si="12"/>
        <v>2.5983860405699999</v>
      </c>
      <c r="AK43" s="13">
        <v>13.7495517944</v>
      </c>
      <c r="AL43" s="36">
        <v>3.0757856205599999E-6</v>
      </c>
      <c r="AM43" s="13">
        <f t="shared" si="13"/>
        <v>3.07578562056</v>
      </c>
    </row>
    <row r="44" spans="1:39">
      <c r="AF44" s="13">
        <v>7.6174175515</v>
      </c>
      <c r="AG44" s="36">
        <v>2.5578687659400001E-6</v>
      </c>
      <c r="AH44" s="13">
        <f t="shared" si="12"/>
        <v>2.5578687659399999</v>
      </c>
      <c r="AK44" s="13">
        <v>11.4678842766</v>
      </c>
      <c r="AL44" s="36">
        <v>2.9654010858000002E-6</v>
      </c>
      <c r="AM44" s="13">
        <f t="shared" si="13"/>
        <v>2.9654010858000004</v>
      </c>
    </row>
    <row r="45" spans="1:39">
      <c r="AF45" s="13">
        <v>4.5774089226000001</v>
      </c>
      <c r="AG45" s="36">
        <v>3.05778699456E-6</v>
      </c>
      <c r="AH45" s="13">
        <f t="shared" si="12"/>
        <v>3.0577869945599998</v>
      </c>
      <c r="AK45" s="13">
        <v>5.8396641104000002</v>
      </c>
      <c r="AL45" s="36">
        <v>3.7623978685500002E-6</v>
      </c>
      <c r="AM45" s="13">
        <f t="shared" si="13"/>
        <v>3.7623978685500004</v>
      </c>
    </row>
    <row r="46" spans="1:39">
      <c r="AF46" s="13">
        <v>3.8145074354999999</v>
      </c>
      <c r="AG46" s="36">
        <v>4.19850025388E-6</v>
      </c>
      <c r="AH46" s="13">
        <f t="shared" si="12"/>
        <v>4.1985002538799998</v>
      </c>
      <c r="AK46" s="13">
        <v>4.8663867586</v>
      </c>
      <c r="AL46" s="36">
        <v>5.64391008531E-6</v>
      </c>
      <c r="AM46" s="13">
        <f t="shared" si="13"/>
        <v>5.6439100853099999</v>
      </c>
    </row>
    <row r="47" spans="1:39">
      <c r="AF47" s="13">
        <v>3.5777465157999999</v>
      </c>
      <c r="AG47" s="36">
        <v>4.5872984039899998E-6</v>
      </c>
      <c r="AH47" s="13">
        <f t="shared" si="12"/>
        <v>4.5872984039899993</v>
      </c>
      <c r="AK47" s="13">
        <v>4.8929080758000003</v>
      </c>
      <c r="AL47" s="36">
        <v>5.7029263381000004E-6</v>
      </c>
      <c r="AM47" s="13">
        <f t="shared" si="13"/>
        <v>5.7029263381000002</v>
      </c>
    </row>
    <row r="48" spans="1:39">
      <c r="AF48" s="13">
        <v>2.9812436747</v>
      </c>
      <c r="AG48" s="36">
        <v>8.5744522037500004E-6</v>
      </c>
      <c r="AH48" s="13">
        <f t="shared" si="12"/>
        <v>8.5744522037500008</v>
      </c>
      <c r="AK48" s="13">
        <v>4.0773868664000004</v>
      </c>
      <c r="AL48" s="36">
        <v>1.13711392208E-5</v>
      </c>
      <c r="AM48" s="13">
        <f t="shared" si="13"/>
        <v>11.3711392208</v>
      </c>
    </row>
    <row r="49" spans="32:42">
      <c r="AF49" s="13">
        <v>3.0586120528</v>
      </c>
      <c r="AG49" s="36">
        <v>1.5214581627400001E-5</v>
      </c>
      <c r="AH49" s="13">
        <f t="shared" si="12"/>
        <v>15.214581627400001</v>
      </c>
      <c r="AK49" s="13">
        <v>4.6034950812000002</v>
      </c>
      <c r="AL49" s="36">
        <v>2.0184850706799999E-5</v>
      </c>
      <c r="AM49" s="13">
        <f t="shared" si="13"/>
        <v>20.184850706799999</v>
      </c>
    </row>
    <row r="50" spans="32:42">
      <c r="AF50" s="13">
        <v>2.549070661</v>
      </c>
      <c r="AG50">
        <v>4.3959999999999999E-5</v>
      </c>
      <c r="AH50" s="13">
        <f t="shared" si="12"/>
        <v>43.96</v>
      </c>
      <c r="AK50" s="13">
        <v>3.8367888100999998</v>
      </c>
      <c r="AL50" s="36">
        <v>6.0612765985400002E-5</v>
      </c>
      <c r="AM50" s="13">
        <f t="shared" si="13"/>
        <v>60.612765985400003</v>
      </c>
    </row>
    <row r="51" spans="32:42">
      <c r="AF51" s="13">
        <v>1.5329553906</v>
      </c>
      <c r="AG51">
        <v>2.6272999999999997E-4</v>
      </c>
      <c r="AH51" s="13">
        <f t="shared" si="12"/>
        <v>262.72999999999996</v>
      </c>
      <c r="AK51" s="13">
        <v>1.9556794528000001</v>
      </c>
      <c r="AL51">
        <v>3.5383490000000001E-4</v>
      </c>
      <c r="AM51" s="13">
        <f t="shared" si="13"/>
        <v>353.8349</v>
      </c>
    </row>
    <row r="52" spans="32:42">
      <c r="AF52" s="13">
        <v>1.2774244401999999</v>
      </c>
      <c r="AG52">
        <v>1.2892227E-3</v>
      </c>
      <c r="AH52" s="13">
        <f t="shared" si="12"/>
        <v>1289.2227</v>
      </c>
      <c r="AK52" s="13">
        <v>1.629683907</v>
      </c>
      <c r="AL52">
        <v>1.6643808999999999E-3</v>
      </c>
      <c r="AM52" s="13">
        <f t="shared" si="13"/>
        <v>1664.3808999999999</v>
      </c>
    </row>
    <row r="53" spans="32:42">
      <c r="AF53" s="13">
        <v>1.0645470231</v>
      </c>
      <c r="AG53">
        <v>8.5945597000000006E-3</v>
      </c>
      <c r="AH53" s="13">
        <f t="shared" si="12"/>
        <v>8594.5596999999998</v>
      </c>
      <c r="AK53" s="13">
        <v>1.3581039294999999</v>
      </c>
      <c r="AL53">
        <v>1.1171262499999999E-2</v>
      </c>
      <c r="AM53" s="13">
        <f t="shared" si="13"/>
        <v>11171.262499999999</v>
      </c>
    </row>
    <row r="55" spans="32:42">
      <c r="AF55" t="s">
        <v>103</v>
      </c>
      <c r="AG55">
        <v>5056</v>
      </c>
      <c r="AK55" t="s">
        <v>103</v>
      </c>
      <c r="AL55">
        <v>5010</v>
      </c>
    </row>
    <row r="57" spans="32:42">
      <c r="AF57" s="16" t="s">
        <v>104</v>
      </c>
      <c r="AL57" s="16" t="s">
        <v>105</v>
      </c>
    </row>
    <row r="59" spans="32:42">
      <c r="AF59" t="s">
        <v>61</v>
      </c>
      <c r="AH59" t="s">
        <v>68</v>
      </c>
      <c r="AI59" t="s">
        <v>106</v>
      </c>
      <c r="AJ59" t="s">
        <v>106</v>
      </c>
      <c r="AL59" t="s">
        <v>61</v>
      </c>
      <c r="AN59" t="s">
        <v>68</v>
      </c>
      <c r="AO59" t="s">
        <v>106</v>
      </c>
      <c r="AP59" t="s">
        <v>106</v>
      </c>
    </row>
    <row r="60" spans="32:42">
      <c r="AF60" t="s">
        <v>72</v>
      </c>
      <c r="AH60" t="s">
        <v>73</v>
      </c>
      <c r="AJ60" t="s">
        <v>73</v>
      </c>
      <c r="AL60" t="s">
        <v>72</v>
      </c>
      <c r="AN60" t="s">
        <v>73</v>
      </c>
      <c r="AP60" t="s">
        <v>73</v>
      </c>
    </row>
    <row r="61" spans="32:42">
      <c r="AF61" s="13">
        <v>40.8775820854</v>
      </c>
      <c r="AG61" s="36">
        <v>1.3386E-5</v>
      </c>
      <c r="AH61" s="13">
        <f>AG61*1000000</f>
        <v>13.386000000000001</v>
      </c>
      <c r="AI61" s="36">
        <v>1.41478124564E-5</v>
      </c>
      <c r="AJ61" s="13">
        <f>AI61*1000000</f>
        <v>14.147812456400001</v>
      </c>
      <c r="AL61" s="13">
        <v>38.3964721161</v>
      </c>
      <c r="AM61" s="36">
        <v>1.2985783650999999E-5</v>
      </c>
      <c r="AN61" s="13">
        <f>AM61*1000000</f>
        <v>12.985783651</v>
      </c>
      <c r="AO61" s="36">
        <v>1.6631702961000001E-5</v>
      </c>
      <c r="AP61" s="13">
        <f>AO61*1000000</f>
        <v>16.631702961000002</v>
      </c>
    </row>
    <row r="62" spans="32:42">
      <c r="AF62" s="13">
        <v>34.010148295</v>
      </c>
      <c r="AG62" s="36">
        <v>8.3563355816500005E-6</v>
      </c>
      <c r="AH62" s="13">
        <f t="shared" ref="AH62:AJ81" si="14">AG62*1000000</f>
        <v>8.3563355816500007</v>
      </c>
      <c r="AI62" s="36">
        <v>8.8050560751499992E-6</v>
      </c>
      <c r="AJ62" s="13">
        <f t="shared" si="14"/>
        <v>8.8050560751499987</v>
      </c>
      <c r="AL62" s="13">
        <v>31.9519944796</v>
      </c>
      <c r="AM62" s="36">
        <v>8.4229463848900004E-6</v>
      </c>
      <c r="AN62" s="13">
        <f t="shared" ref="AN62:AP81" si="15">AM62*1000000</f>
        <v>8.4229463848900004</v>
      </c>
      <c r="AO62" s="36">
        <v>1.0660831476600001E-5</v>
      </c>
      <c r="AP62" s="13">
        <f t="shared" si="15"/>
        <v>10.6608314766</v>
      </c>
    </row>
    <row r="63" spans="32:42">
      <c r="AF63" s="13">
        <v>31.867202236299999</v>
      </c>
      <c r="AG63" s="36">
        <v>9.9243910375300002E-6</v>
      </c>
      <c r="AH63" s="13">
        <f t="shared" si="14"/>
        <v>9.9243910375300004</v>
      </c>
      <c r="AI63" s="36">
        <v>9.9243910375300002E-6</v>
      </c>
      <c r="AJ63" s="13">
        <f t="shared" si="14"/>
        <v>9.9243910375300004</v>
      </c>
      <c r="AL63" s="13">
        <v>28.294632525000001</v>
      </c>
      <c r="AM63" s="36">
        <v>7.6322719771400002E-6</v>
      </c>
      <c r="AN63" s="13">
        <f t="shared" si="15"/>
        <v>7.6322719771400003</v>
      </c>
      <c r="AO63" s="36">
        <v>8.0192304120700005E-6</v>
      </c>
      <c r="AP63" s="13">
        <f t="shared" si="15"/>
        <v>8.0192304120699998</v>
      </c>
    </row>
    <row r="64" spans="32:42">
      <c r="AF64" s="13">
        <v>26.581900032499998</v>
      </c>
      <c r="AG64" s="36">
        <v>6.1920000000000002E-6</v>
      </c>
      <c r="AH64" s="13">
        <f t="shared" si="14"/>
        <v>6.1920000000000002</v>
      </c>
      <c r="AI64">
        <v>6.1920000000000002E-6</v>
      </c>
      <c r="AJ64" s="13">
        <f t="shared" si="14"/>
        <v>6.1920000000000002</v>
      </c>
      <c r="AL64" s="13">
        <v>23.618158538199999</v>
      </c>
      <c r="AM64" s="36">
        <v>4.9571380895599997E-6</v>
      </c>
      <c r="AN64" s="13">
        <f t="shared" si="15"/>
        <v>4.9571380895599999</v>
      </c>
      <c r="AO64" s="36">
        <v>5.1858468154200001E-6</v>
      </c>
      <c r="AP64" s="13">
        <f t="shared" si="15"/>
        <v>5.1858468154199997</v>
      </c>
    </row>
    <row r="65" spans="32:42">
      <c r="AF65" s="13">
        <v>27.304657912</v>
      </c>
      <c r="AG65" s="36">
        <v>8.2981705362200002E-6</v>
      </c>
      <c r="AH65" s="13">
        <f t="shared" si="14"/>
        <v>8.2981705362200007</v>
      </c>
      <c r="AI65" s="36">
        <v>8.2981705362200002E-6</v>
      </c>
      <c r="AJ65" s="13">
        <f t="shared" si="14"/>
        <v>8.2981705362200007</v>
      </c>
      <c r="AL65" s="13">
        <v>22.1515833604</v>
      </c>
      <c r="AM65" s="36">
        <v>5.7001271977599996E-6</v>
      </c>
      <c r="AN65" s="13">
        <f t="shared" si="15"/>
        <v>5.7001271977599997</v>
      </c>
      <c r="AO65" s="36">
        <v>5.7001271977599996E-6</v>
      </c>
      <c r="AP65" s="13">
        <f t="shared" si="15"/>
        <v>5.7001271977599997</v>
      </c>
    </row>
    <row r="66" spans="32:42">
      <c r="AF66" s="13">
        <v>22.7103439276</v>
      </c>
      <c r="AG66" s="36">
        <v>5.2210580268299998E-6</v>
      </c>
      <c r="AH66" s="13">
        <f t="shared" si="14"/>
        <v>5.2210580268299998</v>
      </c>
      <c r="AI66" s="36">
        <v>5.2210580268299998E-6</v>
      </c>
      <c r="AJ66" s="13">
        <f t="shared" si="14"/>
        <v>5.2210580268299998</v>
      </c>
      <c r="AL66" s="13">
        <v>18.4499615601</v>
      </c>
      <c r="AM66" s="36">
        <v>3.73336493427E-6</v>
      </c>
      <c r="AN66" s="13">
        <f t="shared" si="15"/>
        <v>3.7333649342699999</v>
      </c>
      <c r="AO66" s="36">
        <v>3.73336493427E-6</v>
      </c>
      <c r="AP66" s="13">
        <f t="shared" si="15"/>
        <v>3.7333649342699999</v>
      </c>
    </row>
    <row r="67" spans="32:42">
      <c r="AF67" s="13">
        <v>13.669673752</v>
      </c>
      <c r="AG67" s="36">
        <v>3.0126084983900001E-6</v>
      </c>
      <c r="AH67" s="13">
        <f t="shared" si="14"/>
        <v>3.0126084983900001</v>
      </c>
      <c r="AI67" s="36">
        <v>3.1098904272400002E-6</v>
      </c>
      <c r="AJ67" s="13">
        <f t="shared" si="14"/>
        <v>3.1098904272400003</v>
      </c>
      <c r="AL67" s="13">
        <v>12.8418912366</v>
      </c>
      <c r="AM67" s="36">
        <v>2.9841928934100001E-6</v>
      </c>
      <c r="AN67" s="13">
        <f t="shared" si="15"/>
        <v>2.9841928934099999</v>
      </c>
      <c r="AO67" s="36">
        <v>3.49110906714E-6</v>
      </c>
      <c r="AP67" s="13">
        <f t="shared" si="15"/>
        <v>3.49110906714</v>
      </c>
    </row>
    <row r="68" spans="32:42">
      <c r="AF68" s="13">
        <v>11.3898688195</v>
      </c>
      <c r="AG68" s="36">
        <v>2.5523087034499998E-6</v>
      </c>
      <c r="AH68" s="13">
        <f t="shared" si="14"/>
        <v>2.55230870345</v>
      </c>
      <c r="AI68" s="36">
        <v>2.62243247496E-6</v>
      </c>
      <c r="AJ68" s="13">
        <f t="shared" si="14"/>
        <v>2.6224324749600001</v>
      </c>
      <c r="AL68" s="13">
        <v>10.699693505200001</v>
      </c>
      <c r="AM68" s="36">
        <v>2.5668227371699999E-6</v>
      </c>
      <c r="AN68" s="13">
        <f t="shared" si="15"/>
        <v>2.5668227371699999</v>
      </c>
      <c r="AO68" s="36">
        <v>2.9433493890199999E-6</v>
      </c>
      <c r="AP68" s="13">
        <f t="shared" si="15"/>
        <v>2.9433493890199998</v>
      </c>
    </row>
    <row r="69" spans="32:42">
      <c r="AF69" s="13">
        <v>10.681871389399999</v>
      </c>
      <c r="AG69" s="36">
        <v>2.3668244857100001E-6</v>
      </c>
      <c r="AH69" s="13">
        <f t="shared" si="14"/>
        <v>2.36682448571</v>
      </c>
      <c r="AI69" s="36">
        <v>2.3668244857100001E-6</v>
      </c>
      <c r="AJ69" s="13">
        <f t="shared" si="14"/>
        <v>2.36682448571</v>
      </c>
      <c r="AL69" s="13">
        <v>9.4894386984000008</v>
      </c>
      <c r="AM69" s="36">
        <v>1.8598471327800001E-6</v>
      </c>
      <c r="AN69" s="13">
        <f t="shared" si="15"/>
        <v>1.8598471327800001</v>
      </c>
      <c r="AO69" s="36">
        <v>1.9016074292100001E-6</v>
      </c>
      <c r="AP69" s="13">
        <f t="shared" si="15"/>
        <v>1.90160742921</v>
      </c>
    </row>
    <row r="70" spans="32:42">
      <c r="AF70" s="13">
        <v>8.9045589852999996</v>
      </c>
      <c r="AG70" s="36">
        <v>2.0704365309900001E-6</v>
      </c>
      <c r="AH70" s="13">
        <f t="shared" si="14"/>
        <v>2.0704365309899999</v>
      </c>
      <c r="AI70" s="36">
        <v>2.0704365309900001E-6</v>
      </c>
      <c r="AJ70" s="13">
        <f t="shared" si="14"/>
        <v>2.0704365309899999</v>
      </c>
      <c r="AL70" s="13">
        <v>7.9093368128000003</v>
      </c>
      <c r="AM70" s="36">
        <v>1.6499160538899999E-6</v>
      </c>
      <c r="AN70" s="13">
        <f t="shared" si="15"/>
        <v>1.64991605389</v>
      </c>
      <c r="AO70" s="36">
        <v>1.67935063447E-6</v>
      </c>
      <c r="AP70" s="13">
        <f t="shared" si="15"/>
        <v>1.67935063447</v>
      </c>
    </row>
    <row r="71" spans="32:42">
      <c r="AF71" s="13">
        <v>9.1343940881000005</v>
      </c>
      <c r="AG71" s="36">
        <v>2.257283917E-6</v>
      </c>
      <c r="AH71" s="13">
        <f t="shared" si="14"/>
        <v>2.2572839170000001</v>
      </c>
      <c r="AI71" s="36">
        <v>2.257283917E-6</v>
      </c>
      <c r="AJ71" s="13">
        <f t="shared" si="14"/>
        <v>2.2572839170000001</v>
      </c>
      <c r="AL71" s="13">
        <v>7.4176104147000004</v>
      </c>
      <c r="AM71" s="36">
        <v>1.5791576282400001E-6</v>
      </c>
      <c r="AN71" s="13">
        <f t="shared" si="15"/>
        <v>1.5791576282400002</v>
      </c>
      <c r="AO71" s="36">
        <v>1.5791576282400001E-6</v>
      </c>
      <c r="AP71" s="13">
        <f t="shared" si="15"/>
        <v>1.5791576282400002</v>
      </c>
    </row>
    <row r="72" spans="32:42">
      <c r="AF72" s="13">
        <v>7.6174175515</v>
      </c>
      <c r="AG72" s="36">
        <v>2.1169999999999998E-6</v>
      </c>
      <c r="AH72" s="13">
        <f t="shared" si="14"/>
        <v>2.117</v>
      </c>
      <c r="AI72">
        <v>2.1169999999999998E-6</v>
      </c>
      <c r="AJ72" s="13">
        <f t="shared" si="14"/>
        <v>2.117</v>
      </c>
      <c r="AL72" s="13">
        <v>6.1838345795</v>
      </c>
      <c r="AM72" s="36">
        <v>1.50037669104E-6</v>
      </c>
      <c r="AN72" s="13">
        <f t="shared" si="15"/>
        <v>1.50037669104</v>
      </c>
      <c r="AO72" s="36">
        <v>1.50037669104E-6</v>
      </c>
      <c r="AP72" s="13">
        <f t="shared" si="15"/>
        <v>1.50037669104</v>
      </c>
    </row>
    <row r="73" spans="32:42">
      <c r="AF73" s="13">
        <v>4.5774089226000001</v>
      </c>
      <c r="AG73" s="36">
        <v>2.4344522914900001E-6</v>
      </c>
      <c r="AH73" s="13">
        <f t="shared" si="14"/>
        <v>2.43445229149</v>
      </c>
      <c r="AI73" s="36">
        <v>2.4520563941899999E-6</v>
      </c>
      <c r="AJ73" s="13">
        <f t="shared" si="14"/>
        <v>2.45205639419</v>
      </c>
      <c r="AL73" s="13">
        <v>4.3005033480000003</v>
      </c>
      <c r="AM73" s="36">
        <v>2.44048004332E-6</v>
      </c>
      <c r="AN73" s="13">
        <f t="shared" si="15"/>
        <v>2.44048004332</v>
      </c>
      <c r="AO73">
        <v>2.5409999999999999E-6</v>
      </c>
      <c r="AP73" s="13">
        <f t="shared" si="15"/>
        <v>2.5409999999999999</v>
      </c>
    </row>
    <row r="74" spans="32:42">
      <c r="AF74" s="13">
        <v>3.8145074354999999</v>
      </c>
      <c r="AG74" s="36">
        <v>3.3490984443299999E-6</v>
      </c>
      <c r="AH74" s="13">
        <f t="shared" si="14"/>
        <v>3.34909844433</v>
      </c>
      <c r="AI74" s="36">
        <v>3.3662126977799999E-6</v>
      </c>
      <c r="AJ74" s="13">
        <f t="shared" si="14"/>
        <v>3.36621269778</v>
      </c>
      <c r="AL74" s="13">
        <v>3.5836370376</v>
      </c>
      <c r="AM74" s="36">
        <v>3.2994405820500001E-6</v>
      </c>
      <c r="AN74" s="13">
        <f t="shared" si="15"/>
        <v>3.2994405820499999</v>
      </c>
      <c r="AO74" s="36">
        <v>3.3937676941799999E-6</v>
      </c>
      <c r="AP74" s="13">
        <f t="shared" si="15"/>
        <v>3.3937676941800001</v>
      </c>
    </row>
    <row r="75" spans="32:42">
      <c r="AF75" s="13">
        <v>3.5777465157999999</v>
      </c>
      <c r="AG75" s="36">
        <v>3.6337160971000002E-6</v>
      </c>
      <c r="AH75" s="13">
        <f t="shared" si="14"/>
        <v>3.6337160971000002</v>
      </c>
      <c r="AI75" s="36">
        <v>3.6337160971000002E-6</v>
      </c>
      <c r="AJ75" s="13">
        <f t="shared" si="14"/>
        <v>3.6337160971000002</v>
      </c>
      <c r="AL75" s="13">
        <v>3.1791127589000001</v>
      </c>
      <c r="AM75" s="36">
        <v>2.8339999999999999E-6</v>
      </c>
      <c r="AN75" s="13">
        <f t="shared" si="15"/>
        <v>2.8340000000000001</v>
      </c>
      <c r="AO75" s="36">
        <v>2.84425213993E-6</v>
      </c>
      <c r="AP75" s="13">
        <f t="shared" si="15"/>
        <v>2.84425213993</v>
      </c>
    </row>
    <row r="76" spans="32:42">
      <c r="AF76" s="13">
        <v>2.9812436747</v>
      </c>
      <c r="AG76" s="36">
        <v>6.8177589794799997E-6</v>
      </c>
      <c r="AH76" s="13">
        <f t="shared" si="14"/>
        <v>6.8177589794799998</v>
      </c>
      <c r="AI76" s="36">
        <v>6.8177589794799997E-6</v>
      </c>
      <c r="AJ76" s="13">
        <f t="shared" si="14"/>
        <v>6.8177589794799998</v>
      </c>
      <c r="AL76" s="13">
        <v>2.6487654434999999</v>
      </c>
      <c r="AM76" s="36">
        <v>5.2172971779099999E-6</v>
      </c>
      <c r="AN76" s="13">
        <f t="shared" si="15"/>
        <v>5.2172971779099999</v>
      </c>
      <c r="AO76" s="36">
        <v>5.23120475805E-6</v>
      </c>
      <c r="AP76" s="13">
        <f t="shared" si="15"/>
        <v>5.2312047580499996</v>
      </c>
    </row>
    <row r="77" spans="32:42">
      <c r="AF77" s="13">
        <v>3.0586120528</v>
      </c>
      <c r="AG77" s="36">
        <v>1.2028266637E-5</v>
      </c>
      <c r="AH77" s="13">
        <f t="shared" si="14"/>
        <v>12.028266637</v>
      </c>
      <c r="AI77" s="36">
        <v>1.2028266637E-5</v>
      </c>
      <c r="AJ77" s="13">
        <f t="shared" si="14"/>
        <v>12.028266637</v>
      </c>
      <c r="AL77" s="13">
        <v>2.4846122319999999</v>
      </c>
      <c r="AM77" s="36">
        <v>8.4942313174500006E-6</v>
      </c>
      <c r="AN77" s="13">
        <f t="shared" si="15"/>
        <v>8.4942313174499997</v>
      </c>
      <c r="AO77" s="36">
        <v>8.4942313174500006E-6</v>
      </c>
      <c r="AP77" s="13">
        <f t="shared" si="15"/>
        <v>8.4942313174499997</v>
      </c>
    </row>
    <row r="78" spans="32:42">
      <c r="AF78" s="13">
        <v>2.549070661</v>
      </c>
      <c r="AG78" s="36">
        <v>3.4909622943200002E-5</v>
      </c>
      <c r="AH78" s="13">
        <f t="shared" si="14"/>
        <v>34.909622943199999</v>
      </c>
      <c r="AI78" s="36">
        <v>3.4909622943200002E-5</v>
      </c>
      <c r="AJ78" s="13">
        <f t="shared" si="14"/>
        <v>34.909622943199999</v>
      </c>
      <c r="AL78" s="13">
        <v>2.0703434385000001</v>
      </c>
      <c r="AM78" s="36">
        <v>2.4572432719799999E-5</v>
      </c>
      <c r="AN78" s="13">
        <f t="shared" si="15"/>
        <v>24.572432719799998</v>
      </c>
      <c r="AO78" s="36">
        <v>2.4572432719799999E-5</v>
      </c>
      <c r="AP78" s="13">
        <f t="shared" si="15"/>
        <v>24.572432719799998</v>
      </c>
    </row>
    <row r="79" spans="32:42">
      <c r="AF79" s="13">
        <v>1.5329553906</v>
      </c>
      <c r="AG79">
        <v>2.5200389999999997E-4</v>
      </c>
      <c r="AH79" s="13">
        <f t="shared" si="14"/>
        <v>252.00389999999999</v>
      </c>
      <c r="AI79">
        <v>2.5234969999999999E-4</v>
      </c>
      <c r="AJ79" s="13">
        <f t="shared" si="14"/>
        <v>252.34969999999998</v>
      </c>
      <c r="AL79" s="13">
        <v>1.5329553906</v>
      </c>
      <c r="AM79">
        <v>1.7819369999999999E-4</v>
      </c>
      <c r="AN79" s="13">
        <f t="shared" si="15"/>
        <v>178.19369999999998</v>
      </c>
      <c r="AO79">
        <v>1.7843819999999999E-4</v>
      </c>
      <c r="AP79" s="13">
        <f t="shared" si="15"/>
        <v>178.43819999999999</v>
      </c>
    </row>
    <row r="80" spans="32:42">
      <c r="AF80" s="13">
        <v>1.2774244401999999</v>
      </c>
      <c r="AG80">
        <v>1.167887E-3</v>
      </c>
      <c r="AH80" s="13">
        <f t="shared" si="14"/>
        <v>1167.8869999999999</v>
      </c>
      <c r="AI80">
        <v>1.1692104999999999E-3</v>
      </c>
      <c r="AJ80" s="13">
        <f t="shared" si="14"/>
        <v>1169.2104999999999</v>
      </c>
      <c r="AL80" s="13">
        <v>1.2774244401999999</v>
      </c>
      <c r="AM80">
        <v>8.2582079999999995E-4</v>
      </c>
      <c r="AN80" s="13">
        <f t="shared" si="15"/>
        <v>825.82079999999996</v>
      </c>
      <c r="AO80">
        <v>8.2675670000000002E-4</v>
      </c>
      <c r="AP80" s="13">
        <f t="shared" si="15"/>
        <v>826.75670000000002</v>
      </c>
    </row>
    <row r="81" spans="32:42">
      <c r="AF81" s="13">
        <v>1.0645470231</v>
      </c>
      <c r="AG81">
        <v>7.6963882000000003E-3</v>
      </c>
      <c r="AH81" s="13">
        <f t="shared" si="14"/>
        <v>7696.3882000000003</v>
      </c>
      <c r="AI81">
        <v>7.7034686999999996E-3</v>
      </c>
      <c r="AJ81" s="13">
        <f t="shared" si="14"/>
        <v>7703.4686999999994</v>
      </c>
      <c r="AL81" s="13">
        <v>1.0645470231</v>
      </c>
      <c r="AM81">
        <v>5.4421683000000004E-3</v>
      </c>
      <c r="AN81" s="13">
        <f t="shared" si="15"/>
        <v>5442.1683000000003</v>
      </c>
      <c r="AO81">
        <v>5.4471748999999998E-3</v>
      </c>
      <c r="AP81" s="13">
        <f t="shared" si="15"/>
        <v>5447.1749</v>
      </c>
    </row>
    <row r="83" spans="32:42">
      <c r="AG83" t="s">
        <v>103</v>
      </c>
      <c r="AH83">
        <v>7350</v>
      </c>
      <c r="AM83" t="s">
        <v>103</v>
      </c>
      <c r="AN83">
        <v>15030</v>
      </c>
    </row>
    <row r="86" spans="32:42">
      <c r="AL86" t="s">
        <v>108</v>
      </c>
      <c r="AN86" t="s">
        <v>107</v>
      </c>
    </row>
    <row r="87" spans="32:42">
      <c r="AN87" t="s">
        <v>68</v>
      </c>
    </row>
    <row r="88" spans="32:42">
      <c r="AN88" t="s">
        <v>73</v>
      </c>
    </row>
    <row r="89" spans="32:42">
      <c r="AJ89">
        <v>21</v>
      </c>
      <c r="AL89">
        <v>22.644580329542318</v>
      </c>
      <c r="AN89">
        <v>30.205232988756126</v>
      </c>
    </row>
    <row r="90" spans="32:42">
      <c r="AJ90">
        <v>25</v>
      </c>
      <c r="AL90">
        <v>13.394007326557306</v>
      </c>
      <c r="AN90">
        <v>22.011514142246813</v>
      </c>
    </row>
    <row r="91" spans="32:42">
      <c r="AJ91" s="17">
        <v>30</v>
      </c>
      <c r="AL91">
        <v>16.610990620019816</v>
      </c>
      <c r="AN91">
        <v>24.855190663471845</v>
      </c>
    </row>
    <row r="92" spans="32:42">
      <c r="AJ92" s="17">
        <v>36</v>
      </c>
      <c r="AL92">
        <v>9.8034711842870692</v>
      </c>
      <c r="AN92">
        <v>18.116689747387923</v>
      </c>
    </row>
    <row r="93" spans="32:42">
      <c r="AJ93" s="17">
        <v>43.199999999999996</v>
      </c>
      <c r="AL93">
        <v>13.743611794977518</v>
      </c>
      <c r="AN93">
        <v>21.198376936117793</v>
      </c>
    </row>
    <row r="94" spans="32:42">
      <c r="AJ94" s="17">
        <v>51.839999999999996</v>
      </c>
      <c r="AL94">
        <v>8.158909854136521</v>
      </c>
      <c r="AN94">
        <v>15.615515285359661</v>
      </c>
    </row>
    <row r="95" spans="32:42">
      <c r="AJ95" s="17">
        <v>62.207999999999991</v>
      </c>
      <c r="AL95">
        <v>6.3269601857155431</v>
      </c>
      <c r="AN95">
        <v>5.4788869554408066</v>
      </c>
    </row>
    <row r="96" spans="32:42">
      <c r="AJ96" s="17">
        <v>74.649599999999992</v>
      </c>
      <c r="AL96">
        <v>5.5782911145063174</v>
      </c>
      <c r="AN96">
        <v>4.3651517367721402</v>
      </c>
    </row>
    <row r="97" spans="36:40">
      <c r="AJ97" s="17">
        <v>89.579519999999988</v>
      </c>
      <c r="AL97">
        <v>4.7929627398820926</v>
      </c>
      <c r="AN97">
        <v>4.8457062102911754</v>
      </c>
    </row>
    <row r="98" spans="36:40">
      <c r="AJ98" s="17">
        <v>107.49542399999999</v>
      </c>
      <c r="AL98">
        <v>4.3060571345259318</v>
      </c>
      <c r="AN98">
        <v>4.0124499506111668</v>
      </c>
    </row>
    <row r="99" spans="36:40">
      <c r="AJ99" s="17">
        <v>128.99450879999998</v>
      </c>
      <c r="AL99">
        <v>4.3069412044708981</v>
      </c>
      <c r="AN99">
        <v>4.862489924838278</v>
      </c>
    </row>
    <row r="100" spans="36:40">
      <c r="AJ100" s="17">
        <v>154.79341055999996</v>
      </c>
      <c r="AL100">
        <v>4.025653872553514</v>
      </c>
      <c r="AN100">
        <v>4.3741357126712179</v>
      </c>
    </row>
    <row r="101" spans="36:40">
      <c r="AJ101" s="17">
        <v>185.75209267199995</v>
      </c>
      <c r="AL101">
        <v>4.0612145977307916</v>
      </c>
      <c r="AN101">
        <v>4.2701014340781516</v>
      </c>
    </row>
    <row r="102" spans="36:40">
      <c r="AJ102" s="17">
        <v>222.90251120639994</v>
      </c>
      <c r="AL102">
        <v>5.1745773653542235</v>
      </c>
      <c r="AN102">
        <v>6.5635086123461841</v>
      </c>
    </row>
    <row r="103" spans="36:40">
      <c r="AJ103" s="17">
        <v>267.48301344767992</v>
      </c>
      <c r="AL103">
        <v>4.1662520859083925</v>
      </c>
      <c r="AN103">
        <v>7.5615992266745788</v>
      </c>
    </row>
    <row r="104" spans="36:40">
      <c r="AJ104" s="17">
        <v>320.97961613721588</v>
      </c>
      <c r="AL104">
        <v>6.0243126273337584</v>
      </c>
      <c r="AN104">
        <v>15.579259095602875</v>
      </c>
    </row>
    <row r="105" spans="36:40">
      <c r="AJ105" s="17">
        <v>385.17553936465907</v>
      </c>
      <c r="AL105">
        <v>6.864344887662611</v>
      </c>
      <c r="AN105">
        <v>26.844179265079955</v>
      </c>
    </row>
    <row r="106" spans="36:40">
      <c r="AJ106" s="17">
        <v>462.21064723759088</v>
      </c>
      <c r="AL106">
        <v>12.499216866716703</v>
      </c>
      <c r="AN106">
        <v>83.291317842714506</v>
      </c>
    </row>
    <row r="107" spans="36:40">
      <c r="AJ107" s="17">
        <v>554.65277668510907</v>
      </c>
      <c r="AL107">
        <v>54.54345258</v>
      </c>
      <c r="AN107">
        <v>612.52361454656568</v>
      </c>
    </row>
    <row r="108" spans="36:40">
      <c r="AJ108" s="17">
        <v>665.58333202213089</v>
      </c>
      <c r="AL108">
        <v>150.0899702969927</v>
      </c>
      <c r="AN108">
        <v>3143.4274981382796</v>
      </c>
    </row>
    <row r="109" spans="36:40">
      <c r="AJ109" s="17">
        <v>798.69999842655704</v>
      </c>
      <c r="AL109">
        <v>475.06060411130761</v>
      </c>
      <c r="AN109">
        <v>24152.690482999264</v>
      </c>
    </row>
    <row r="113" spans="33:37">
      <c r="AG113" t="s">
        <v>110</v>
      </c>
      <c r="AI113" t="s">
        <v>109</v>
      </c>
      <c r="AK113" t="s">
        <v>113</v>
      </c>
    </row>
    <row r="114" spans="33:37">
      <c r="AK114" t="s">
        <v>114</v>
      </c>
    </row>
    <row r="115" spans="33:37">
      <c r="AG115" t="s">
        <v>6</v>
      </c>
      <c r="AH115" t="s">
        <v>111</v>
      </c>
      <c r="AI115" t="s">
        <v>112</v>
      </c>
      <c r="AK115" t="s">
        <v>73</v>
      </c>
    </row>
    <row r="116" spans="33:37">
      <c r="AG116">
        <v>20</v>
      </c>
      <c r="AH116">
        <v>40.909698526900002</v>
      </c>
      <c r="AI116">
        <v>128</v>
      </c>
      <c r="AJ116" s="36">
        <v>1.5893583807599999E-5</v>
      </c>
      <c r="AK116" s="36">
        <f>AJ116*1000000</f>
        <v>15.893583807599999</v>
      </c>
    </row>
    <row r="117" spans="33:37">
      <c r="AG117">
        <v>24.3</v>
      </c>
      <c r="AH117">
        <v>34.989864501100001</v>
      </c>
      <c r="AI117">
        <v>128</v>
      </c>
      <c r="AJ117" s="36">
        <v>1.12021270924E-5</v>
      </c>
      <c r="AK117" s="36">
        <f t="shared" ref="AK117:AK135" si="16">AJ117*1000000</f>
        <v>11.2021270924</v>
      </c>
    </row>
    <row r="118" spans="33:37">
      <c r="AG118" s="17">
        <v>29.5245</v>
      </c>
      <c r="AH118">
        <v>30.4012292297</v>
      </c>
      <c r="AI118">
        <v>128</v>
      </c>
      <c r="AJ118" s="36">
        <v>8.8437345712299998E-6</v>
      </c>
      <c r="AK118" s="36">
        <f t="shared" si="16"/>
        <v>8.8437345712299997</v>
      </c>
    </row>
    <row r="119" spans="33:37">
      <c r="AG119" s="17">
        <v>35.8722675</v>
      </c>
      <c r="AH119">
        <v>22.808537835999999</v>
      </c>
      <c r="AI119">
        <v>250</v>
      </c>
      <c r="AJ119" s="36">
        <v>8.4015975862699999E-6</v>
      </c>
      <c r="AK119" s="36">
        <f t="shared" si="16"/>
        <v>8.4015975862700003</v>
      </c>
    </row>
    <row r="120" spans="33:37">
      <c r="AG120" s="17">
        <v>43.584805012499999</v>
      </c>
      <c r="AH120">
        <v>19.5080305426</v>
      </c>
      <c r="AI120">
        <v>250</v>
      </c>
      <c r="AJ120" s="36">
        <v>6.0359307927999997E-6</v>
      </c>
      <c r="AK120" s="36">
        <f t="shared" si="16"/>
        <v>6.0359307927999994</v>
      </c>
    </row>
    <row r="121" spans="33:37">
      <c r="AG121" s="17">
        <v>52.955538090200001</v>
      </c>
      <c r="AH121">
        <v>16.9497114893</v>
      </c>
      <c r="AI121">
        <v>250</v>
      </c>
      <c r="AJ121" s="36">
        <v>4.8635949217999998E-6</v>
      </c>
      <c r="AK121" s="36">
        <f t="shared" si="16"/>
        <v>4.8635949217999999</v>
      </c>
    </row>
    <row r="122" spans="33:37">
      <c r="AG122" s="17">
        <v>64.340978779599993</v>
      </c>
      <c r="AH122">
        <v>12.716529746000001</v>
      </c>
      <c r="AI122">
        <v>876</v>
      </c>
      <c r="AJ122">
        <v>3.3859999999999999E-6</v>
      </c>
      <c r="AK122" s="36">
        <f t="shared" si="16"/>
        <v>3.3859999999999997</v>
      </c>
    </row>
    <row r="123" spans="33:37">
      <c r="AG123" s="17">
        <v>78.174289217199998</v>
      </c>
      <c r="AH123">
        <v>10.8763855213</v>
      </c>
      <c r="AI123">
        <v>876</v>
      </c>
      <c r="AJ123" s="36">
        <v>2.5348164828599999E-6</v>
      </c>
      <c r="AK123" s="36">
        <f t="shared" si="16"/>
        <v>2.5348164828599997</v>
      </c>
    </row>
    <row r="124" spans="33:37">
      <c r="AG124" s="17">
        <v>94.981761398900005</v>
      </c>
      <c r="AH124">
        <v>9.4500362930000001</v>
      </c>
      <c r="AI124">
        <v>876</v>
      </c>
      <c r="AJ124" s="36">
        <v>2.1407511041599998E-6</v>
      </c>
      <c r="AK124" s="36">
        <f t="shared" si="16"/>
        <v>2.14075110416</v>
      </c>
    </row>
    <row r="125" spans="33:37">
      <c r="AG125" s="17">
        <v>115.40284010000001</v>
      </c>
      <c r="AH125">
        <v>7.0898945800000002</v>
      </c>
      <c r="AI125">
        <v>1180</v>
      </c>
      <c r="AJ125">
        <v>2.4449999999999999E-6</v>
      </c>
      <c r="AK125" s="36">
        <f t="shared" si="16"/>
        <v>2.4449999999999998</v>
      </c>
    </row>
    <row r="126" spans="33:37">
      <c r="AG126" s="17">
        <v>140.21445072099999</v>
      </c>
      <c r="AH126">
        <v>6.0639520606000001</v>
      </c>
      <c r="AI126">
        <v>1180</v>
      </c>
      <c r="AJ126" s="36">
        <v>2.0277092459100002E-6</v>
      </c>
      <c r="AK126" s="36">
        <f t="shared" si="16"/>
        <v>2.0277092459100001</v>
      </c>
    </row>
    <row r="127" spans="33:37">
      <c r="AG127" s="17">
        <v>170.360557626</v>
      </c>
      <c r="AH127">
        <v>5.2687142193999996</v>
      </c>
      <c r="AI127">
        <v>1180</v>
      </c>
      <c r="AJ127" s="36">
        <v>1.9604359660700002E-6</v>
      </c>
      <c r="AK127" s="36">
        <f t="shared" si="16"/>
        <v>1.9604359660700001</v>
      </c>
    </row>
    <row r="128" spans="33:37">
      <c r="AG128" s="17">
        <v>206.988077516</v>
      </c>
      <c r="AH128">
        <v>3.9528555478</v>
      </c>
      <c r="AI128">
        <v>1400</v>
      </c>
      <c r="AJ128" s="36">
        <v>2.7597812906300002E-6</v>
      </c>
      <c r="AK128" s="36">
        <f t="shared" si="16"/>
        <v>2.7597812906300003</v>
      </c>
    </row>
    <row r="129" spans="33:37">
      <c r="AG129" s="17">
        <v>251.490514182</v>
      </c>
      <c r="AH129">
        <v>3.3808579625999999</v>
      </c>
      <c r="AI129">
        <v>1400</v>
      </c>
      <c r="AJ129" s="36">
        <v>3.0962050009299999E-6</v>
      </c>
      <c r="AK129" s="36">
        <f t="shared" si="16"/>
        <v>3.09620500093</v>
      </c>
    </row>
    <row r="130" spans="33:37">
      <c r="AG130" s="17">
        <v>305.56097473099999</v>
      </c>
      <c r="AH130">
        <v>2.9374860227999999</v>
      </c>
      <c r="AI130">
        <v>1400</v>
      </c>
      <c r="AJ130" s="36">
        <v>4.58083190485E-6</v>
      </c>
      <c r="AK130" s="36">
        <f t="shared" si="16"/>
        <v>4.5808319048500001</v>
      </c>
    </row>
    <row r="131" spans="33:37">
      <c r="AG131" s="17">
        <v>371.25658429800001</v>
      </c>
      <c r="AH131">
        <v>2.2038503966</v>
      </c>
      <c r="AI131">
        <v>1100</v>
      </c>
      <c r="AJ131" s="36">
        <v>1.23343121898E-5</v>
      </c>
      <c r="AK131" s="36">
        <f t="shared" si="16"/>
        <v>12.3343121898</v>
      </c>
    </row>
    <row r="132" spans="33:37">
      <c r="AG132" s="17">
        <v>451.07674992199998</v>
      </c>
      <c r="AH132">
        <v>1.8849424349999999</v>
      </c>
      <c r="AI132">
        <v>1100</v>
      </c>
      <c r="AJ132" s="36">
        <v>2.9059852976799999E-5</v>
      </c>
      <c r="AK132" s="36">
        <f t="shared" si="16"/>
        <v>29.059852976799998</v>
      </c>
    </row>
    <row r="133" spans="33:37">
      <c r="AG133" s="17">
        <v>548.05825115499999</v>
      </c>
      <c r="AH133">
        <v>1.6377476125999999</v>
      </c>
      <c r="AI133">
        <v>1100</v>
      </c>
      <c r="AJ133" s="36">
        <v>9.9721527369399997E-5</v>
      </c>
      <c r="AK133" s="36">
        <f t="shared" si="16"/>
        <v>99.721527369399993</v>
      </c>
    </row>
    <row r="134" spans="33:37">
      <c r="AG134" s="17">
        <v>665.89077515300005</v>
      </c>
      <c r="AH134">
        <v>1.2768666259999999</v>
      </c>
      <c r="AI134">
        <v>240</v>
      </c>
      <c r="AJ134">
        <v>1.1343220999999999E-3</v>
      </c>
      <c r="AK134" s="36">
        <f t="shared" si="16"/>
        <v>1134.3220999999999</v>
      </c>
    </row>
    <row r="135" spans="33:37">
      <c r="AG135" s="17">
        <v>809.05729181100003</v>
      </c>
      <c r="AH135">
        <v>1.0509190338000001</v>
      </c>
      <c r="AI135">
        <v>220</v>
      </c>
      <c r="AJ135">
        <v>9.2042896999999999E-3</v>
      </c>
      <c r="AK135" s="36">
        <f t="shared" si="16"/>
        <v>9204.2896999999994</v>
      </c>
    </row>
    <row r="136" spans="33:37">
      <c r="AG136" s="17"/>
      <c r="AI136">
        <f>SUM(AI116:AI135)</f>
        <v>15262</v>
      </c>
    </row>
  </sheetData>
  <mergeCells count="13">
    <mergeCell ref="AI3:AJ3"/>
    <mergeCell ref="V1:X1"/>
    <mergeCell ref="A18:F18"/>
    <mergeCell ref="O2:T2"/>
    <mergeCell ref="O1:T1"/>
    <mergeCell ref="A1:M1"/>
    <mergeCell ref="D19:E19"/>
    <mergeCell ref="K3:L3"/>
    <mergeCell ref="R3:S3"/>
    <mergeCell ref="D3:E3"/>
    <mergeCell ref="A2:E2"/>
    <mergeCell ref="H2:M2"/>
    <mergeCell ref="A17:F17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activeCell="A19" sqref="A19"/>
    </sheetView>
  </sheetViews>
  <sheetFormatPr defaultColWidth="11.44140625" defaultRowHeight="15"/>
  <cols>
    <col min="2" max="2" width="12.109375" bestFit="1" customWidth="1"/>
    <col min="7" max="7" width="12.109375" bestFit="1" customWidth="1"/>
  </cols>
  <sheetData>
    <row r="1" spans="1:9">
      <c r="A1" t="s">
        <v>60</v>
      </c>
      <c r="F1" t="s">
        <v>27</v>
      </c>
    </row>
    <row r="2" spans="1:9">
      <c r="A2" t="s">
        <v>57</v>
      </c>
      <c r="B2">
        <v>140</v>
      </c>
      <c r="F2" t="s">
        <v>57</v>
      </c>
      <c r="G2">
        <v>120</v>
      </c>
    </row>
    <row r="3" spans="1:9">
      <c r="A3">
        <v>30</v>
      </c>
      <c r="B3" t="s">
        <v>12</v>
      </c>
      <c r="C3">
        <v>1</v>
      </c>
      <c r="D3" t="s">
        <v>58</v>
      </c>
      <c r="F3">
        <v>30</v>
      </c>
      <c r="G3" t="s">
        <v>12</v>
      </c>
      <c r="H3">
        <v>1</v>
      </c>
      <c r="I3" t="s">
        <v>58</v>
      </c>
    </row>
    <row r="4" spans="1:9">
      <c r="A4">
        <v>90</v>
      </c>
      <c r="B4" t="s">
        <v>12</v>
      </c>
      <c r="C4">
        <f>C3/(A4/A3)</f>
        <v>0.33333333333333331</v>
      </c>
      <c r="D4" t="s">
        <v>58</v>
      </c>
      <c r="F4">
        <v>90</v>
      </c>
      <c r="G4" t="s">
        <v>12</v>
      </c>
      <c r="H4">
        <f>H3/(F4/F3)</f>
        <v>0.33333333333333331</v>
      </c>
      <c r="I4" t="s">
        <v>58</v>
      </c>
    </row>
    <row r="5" spans="1:9">
      <c r="A5">
        <v>150</v>
      </c>
      <c r="B5" t="s">
        <v>12</v>
      </c>
      <c r="C5">
        <f>C4/(A5/A4)</f>
        <v>0.19999999999999998</v>
      </c>
      <c r="D5" t="s">
        <v>58</v>
      </c>
      <c r="F5">
        <v>150</v>
      </c>
      <c r="G5" t="s">
        <v>12</v>
      </c>
      <c r="H5">
        <f>H4/(F5/F4)</f>
        <v>0.19999999999999998</v>
      </c>
      <c r="I5" t="s">
        <v>58</v>
      </c>
    </row>
    <row r="7" spans="1:9">
      <c r="A7" t="s">
        <v>59</v>
      </c>
      <c r="B7">
        <f>4/(2*3.14159^2*$B$2^2)</f>
        <v>1.0338913755840798E-5</v>
      </c>
      <c r="F7" t="s">
        <v>59</v>
      </c>
      <c r="G7">
        <f>4/(2*3.14159^2*$G$2^2)</f>
        <v>1.4072410389894419E-5</v>
      </c>
    </row>
    <row r="8" spans="1:9">
      <c r="A8" t="s">
        <v>53</v>
      </c>
      <c r="B8" t="s">
        <v>54</v>
      </c>
      <c r="C8" t="s">
        <v>55</v>
      </c>
      <c r="D8" t="s">
        <v>56</v>
      </c>
      <c r="F8" t="s">
        <v>53</v>
      </c>
      <c r="G8" t="s">
        <v>54</v>
      </c>
      <c r="H8" t="s">
        <v>55</v>
      </c>
      <c r="I8" t="s">
        <v>56</v>
      </c>
    </row>
    <row r="9" spans="1:9">
      <c r="A9">
        <v>1</v>
      </c>
      <c r="B9" s="13">
        <f>60*DEGREES(ACOS(1-($B$7*($C$3^2)/A9^2)))</f>
        <v>15.632437863194284</v>
      </c>
      <c r="C9" s="13">
        <f>60*DEGREES(ACOS(1-($B$7*($C$4^2)/A9^2)))</f>
        <v>5.2108086304642764</v>
      </c>
      <c r="D9" s="13">
        <f>60*DEGREES(ACOS(1-($B$7*($C$5^2)/A9^2)))</f>
        <v>3.1264849866590518</v>
      </c>
      <c r="F9">
        <v>1</v>
      </c>
      <c r="G9" s="13">
        <f>60*DEGREES(ACOS(1-($G$7*($C$3^2)/F9^2)))</f>
        <v>18.237849848021327</v>
      </c>
      <c r="H9" s="13">
        <f>60*DEGREES(ACOS(1-($G$7*($C$4^2)/F9^2)))</f>
        <v>6.079276945632814</v>
      </c>
      <c r="I9" s="13">
        <f>60*DEGREES(ACOS(1-($G$7*($C$5^2)/F9^2)))</f>
        <v>3.6475658631729662</v>
      </c>
    </row>
    <row r="10" spans="1:9">
      <c r="A10">
        <v>0.95</v>
      </c>
      <c r="B10" s="13">
        <f t="shared" ref="B10:B18" si="0">60*DEGREES(ACOS(1-($B$7*($C$3^2)/A10^2)))</f>
        <v>16.455199282427881</v>
      </c>
      <c r="C10" s="13">
        <f t="shared" ref="C10:C17" si="1">60*DEGREES(ACOS(1-($B$7*($C$4^2)/A10^2)))</f>
        <v>5.4850617729899005</v>
      </c>
      <c r="D10" s="13">
        <f t="shared" ref="D10:D17" si="2">60*DEGREES(ACOS(1-($B$7*($C$5^2)/A10^2)))</f>
        <v>3.2910368401695478</v>
      </c>
      <c r="F10">
        <v>0.95</v>
      </c>
      <c r="G10" s="13">
        <f t="shared" ref="G10:G19" si="3">60*DEGREES(ACOS(1-($G$7*($C$3^2)/F10^2)))</f>
        <v>19.19773911432371</v>
      </c>
      <c r="H10" s="13">
        <f t="shared" ref="H10:H19" si="4">60*DEGREES(ACOS(1-($G$7*($C$4^2)/F10^2)))</f>
        <v>6.3992389802896472</v>
      </c>
      <c r="I10" s="13">
        <f t="shared" ref="I10:I19" si="5">60*DEGREES(ACOS(1-($G$7*($C$5^2)/F10^2)))</f>
        <v>3.8395430334086127</v>
      </c>
    </row>
    <row r="11" spans="1:9">
      <c r="A11">
        <v>0.9</v>
      </c>
      <c r="B11" s="13">
        <f t="shared" si="0"/>
        <v>17.369378913893481</v>
      </c>
      <c r="C11" s="13">
        <f t="shared" si="1"/>
        <v>5.7897874970044603</v>
      </c>
      <c r="D11" s="13">
        <f t="shared" si="2"/>
        <v>3.4738722354719642</v>
      </c>
      <c r="F11">
        <v>0.9</v>
      </c>
      <c r="G11" s="13">
        <f t="shared" si="3"/>
        <v>20.264283183223792</v>
      </c>
      <c r="H11" s="13">
        <f t="shared" si="4"/>
        <v>6.7547523683140831</v>
      </c>
      <c r="I11" s="13">
        <f t="shared" si="5"/>
        <v>4.0528510038505612</v>
      </c>
    </row>
    <row r="12" spans="1:9">
      <c r="A12">
        <v>0.85</v>
      </c>
      <c r="B12" s="13">
        <f t="shared" si="0"/>
        <v>18.391109454456085</v>
      </c>
      <c r="C12" s="13">
        <f t="shared" si="1"/>
        <v>6.1303633199353138</v>
      </c>
      <c r="D12" s="13">
        <f t="shared" si="2"/>
        <v>3.6782176801211346</v>
      </c>
      <c r="F12">
        <v>0.85</v>
      </c>
      <c r="G12" s="13">
        <f t="shared" si="3"/>
        <v>21.456303603170415</v>
      </c>
      <c r="H12" s="13">
        <f t="shared" si="4"/>
        <v>7.1520908822728231</v>
      </c>
      <c r="I12" s="13">
        <f t="shared" si="5"/>
        <v>4.2912540339137806</v>
      </c>
    </row>
    <row r="13" spans="1:9">
      <c r="A13">
        <v>0.8</v>
      </c>
      <c r="B13" s="13">
        <f t="shared" si="0"/>
        <v>19.540556799155297</v>
      </c>
      <c r="C13" s="13">
        <f t="shared" si="1"/>
        <v>6.5135111387353541</v>
      </c>
      <c r="D13" s="13">
        <f t="shared" si="2"/>
        <v>3.9081063090212713</v>
      </c>
      <c r="F13">
        <v>0.8</v>
      </c>
      <c r="G13" s="13">
        <f t="shared" si="3"/>
        <v>22.797327348274859</v>
      </c>
      <c r="H13" s="13">
        <f t="shared" si="4"/>
        <v>7.5990967389114239</v>
      </c>
      <c r="I13" s="13">
        <f t="shared" si="5"/>
        <v>4.5594574494327693</v>
      </c>
    </row>
    <row r="14" spans="1:9">
      <c r="A14">
        <v>0.75</v>
      </c>
      <c r="B14" s="13">
        <f t="shared" si="0"/>
        <v>20.843264451728285</v>
      </c>
      <c r="C14" s="13">
        <f t="shared" si="1"/>
        <v>6.9477453577614519</v>
      </c>
      <c r="D14" s="13">
        <f t="shared" si="2"/>
        <v>4.1686467607579276</v>
      </c>
      <c r="F14">
        <v>0.75</v>
      </c>
      <c r="G14" s="13">
        <f t="shared" si="3"/>
        <v>24.317155310579672</v>
      </c>
      <c r="H14" s="13">
        <f t="shared" si="4"/>
        <v>8.105703415611055</v>
      </c>
      <c r="I14" s="13">
        <f t="shared" si="5"/>
        <v>4.8634213283943755</v>
      </c>
    </row>
    <row r="15" spans="1:9">
      <c r="A15">
        <v>0.7</v>
      </c>
      <c r="B15" s="13">
        <f t="shared" si="0"/>
        <v>22.33207411658605</v>
      </c>
      <c r="C15" s="13">
        <f t="shared" si="1"/>
        <v>7.4440130709278565</v>
      </c>
      <c r="D15" s="13">
        <f t="shared" si="2"/>
        <v>4.4664072839655633</v>
      </c>
      <c r="F15">
        <v>0.7</v>
      </c>
      <c r="G15" s="13">
        <f t="shared" si="3"/>
        <v>26.054103012479757</v>
      </c>
      <c r="H15" s="13">
        <f t="shared" si="4"/>
        <v>8.6846825286689064</v>
      </c>
      <c r="I15" s="13">
        <f t="shared" si="5"/>
        <v>5.2108086304642764</v>
      </c>
    </row>
    <row r="16" spans="1:9">
      <c r="A16">
        <v>0.65</v>
      </c>
      <c r="B16" s="13">
        <f t="shared" si="0"/>
        <v>24.049932727739883</v>
      </c>
      <c r="C16" s="13">
        <f t="shared" si="1"/>
        <v>8.0166297111161899</v>
      </c>
      <c r="D16" s="13">
        <f t="shared" si="2"/>
        <v>4.8099771290443059</v>
      </c>
      <c r="F16">
        <v>0.65</v>
      </c>
      <c r="G16" s="13">
        <f t="shared" si="3"/>
        <v>28.058275511053623</v>
      </c>
      <c r="H16" s="13">
        <f t="shared" si="4"/>
        <v>9.3527354282524549</v>
      </c>
      <c r="I16" s="13">
        <f t="shared" si="5"/>
        <v>5.6116401493279362</v>
      </c>
    </row>
    <row r="17" spans="1:9">
      <c r="A17">
        <v>0.6</v>
      </c>
      <c r="B17" s="13">
        <f t="shared" si="0"/>
        <v>26.054103012479757</v>
      </c>
      <c r="C17" s="13">
        <f t="shared" si="1"/>
        <v>8.6846825286689064</v>
      </c>
      <c r="D17" s="13">
        <f t="shared" si="2"/>
        <v>5.2108086304642764</v>
      </c>
      <c r="F17">
        <v>0.6</v>
      </c>
      <c r="G17" s="13">
        <f t="shared" si="3"/>
        <v>30.396479784581508</v>
      </c>
      <c r="H17" s="13">
        <f t="shared" si="4"/>
        <v>10.132130589748837</v>
      </c>
      <c r="I17" s="13">
        <f t="shared" si="5"/>
        <v>6.079276945632814</v>
      </c>
    </row>
    <row r="18" spans="1:9">
      <c r="A18">
        <v>0.57499999999999996</v>
      </c>
      <c r="B18" s="13">
        <f t="shared" si="0"/>
        <v>27.186895880879604</v>
      </c>
      <c r="C18" s="13">
        <f t="shared" ref="C18" si="6">60*DEGREES(ACOS(1-($B$7*($C$4^2)/A18^2)))</f>
        <v>9.0622776353816654</v>
      </c>
      <c r="D18" s="13">
        <f t="shared" ref="D18" si="7">60*DEGREES(ACOS(1-($B$7*($C$5^2)/A18^2)))</f>
        <v>5.4373655736086661</v>
      </c>
      <c r="F18">
        <v>0.55000000000000004</v>
      </c>
      <c r="G18" s="13">
        <f t="shared" si="3"/>
        <v>33.159816661323532</v>
      </c>
      <c r="H18" s="13">
        <f t="shared" si="4"/>
        <v>11.053234131089273</v>
      </c>
      <c r="I18" s="13">
        <f t="shared" si="5"/>
        <v>6.6319386503043258</v>
      </c>
    </row>
    <row r="19" spans="1:9">
      <c r="A19" s="18">
        <v>0.55000000000000004</v>
      </c>
      <c r="B19" s="14">
        <f>60*DEGREES(ACOS(1-($B$7*($C$3^2)/A19^2)))</f>
        <v>28.422670761926895</v>
      </c>
      <c r="C19" s="14">
        <f>60*DEGREES(ACOS(1-($B$7*($C$4^2)/A19^2)))</f>
        <v>9.474199601131664</v>
      </c>
      <c r="D19" s="14">
        <f>60*DEGREES(ACOS(1-($B$7*($C$5^2)/A19^2)))</f>
        <v>5.6845186093859361</v>
      </c>
      <c r="F19" s="18">
        <v>0.5</v>
      </c>
      <c r="G19" s="14">
        <f t="shared" si="3"/>
        <v>36.47582802321287</v>
      </c>
      <c r="H19" s="14">
        <f t="shared" si="4"/>
        <v>12.158558644056273</v>
      </c>
      <c r="I19" s="14">
        <f t="shared" si="5"/>
        <v>7.2951327529473069</v>
      </c>
    </row>
    <row r="20" spans="1:9">
      <c r="A20">
        <v>0.5</v>
      </c>
      <c r="B20" s="13">
        <f>60*DEGREES(ACOS(1-($B$7*($C$3^2)/A20^2)))</f>
        <v>31.264956538556497</v>
      </c>
      <c r="C20" s="13">
        <f>60*DEGREES(ACOS(1-($B$7*($C$4^2)/A20^2)))</f>
        <v>10.421620253812698</v>
      </c>
      <c r="D20" s="13">
        <f>60*DEGREES(ACOS(1-($B$7*($C$5^2)/A20^2)))</f>
        <v>6.2529706198078268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NominalSet</vt:lpstr>
      <vt:lpstr>DetectorNoise, V2.5</vt:lpstr>
      <vt:lpstr>DetectorNoise, V3D, case1</vt:lpstr>
      <vt:lpstr>DetectorNoise, V3D, case2</vt:lpstr>
      <vt:lpstr>DetectorNoise, V3D, case3</vt:lpstr>
      <vt:lpstr>DetectorNoise, V3D, case4</vt:lpstr>
      <vt:lpstr>Comparisons</vt:lpstr>
      <vt:lpstr>Weights</vt:lpstr>
      <vt:lpstr>MirrorFill</vt:lpstr>
    </vt:vector>
  </TitlesOfParts>
  <Company>University of Minnesota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Shaul Hanany</dc:creator>
  <cp:lastModifiedBy>kyoung</cp:lastModifiedBy>
  <dcterms:created xsi:type="dcterms:W3CDTF">2017-04-18T19:10:53Z</dcterms:created>
  <dcterms:modified xsi:type="dcterms:W3CDTF">2017-11-01T22:26:56Z</dcterms:modified>
</cp:coreProperties>
</file>